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dk\public\Marketing\Internal stuff\Charlotte\WORK IN PROGRESS\Partner program\"/>
    </mc:Choice>
  </mc:AlternateContent>
  <xr:revisionPtr revIDLastSave="0" documentId="13_ncr:1_{717BD2B5-3EC1-464C-A841-45450B40F30D}" xr6:coauthVersionLast="47" xr6:coauthVersionMax="47" xr10:uidLastSave="{00000000-0000-0000-0000-000000000000}"/>
  <bookViews>
    <workbookView xWindow="-135" yWindow="-135" windowWidth="38670" windowHeight="21420" xr2:uid="{00000000-000D-0000-FFFF-FFFF00000000}"/>
  </bookViews>
  <sheets>
    <sheet name="Assumptions" sheetId="3" r:id="rId1"/>
    <sheet name="Initial Investment" sheetId="4" r:id="rId2"/>
    <sheet name="Distributor Cash flow" sheetId="6" r:id="rId3"/>
    <sheet name="Full ROI Calculation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" l="1"/>
  <c r="S6" i="2"/>
  <c r="K12" i="2"/>
  <c r="K6" i="2"/>
  <c r="G12" i="2"/>
  <c r="G6" i="2"/>
  <c r="C12" i="2"/>
  <c r="C14" i="2" s="1"/>
  <c r="C6" i="2"/>
  <c r="C8" i="4"/>
  <c r="E13" i="4"/>
  <c r="E14" i="4"/>
  <c r="E15" i="4"/>
  <c r="E12" i="4"/>
  <c r="E14" i="2"/>
  <c r="C19" i="2"/>
  <c r="G19" i="2" s="1"/>
  <c r="K19" i="2" s="1"/>
  <c r="O19" i="2" s="1"/>
  <c r="S19" i="2" s="1"/>
  <c r="C17" i="2"/>
  <c r="C18" i="2"/>
  <c r="C10" i="2"/>
  <c r="G10" i="2" s="1"/>
  <c r="C4" i="2"/>
  <c r="C8" i="2" s="1"/>
  <c r="E20" i="2"/>
  <c r="I20" i="2" s="1"/>
  <c r="E8" i="2"/>
  <c r="D20" i="2"/>
  <c r="D14" i="2"/>
  <c r="H14" i="2" s="1"/>
  <c r="L14" i="2" s="1"/>
  <c r="P14" i="2" s="1"/>
  <c r="D8" i="2"/>
  <c r="G18" i="2"/>
  <c r="K18" i="2" s="1"/>
  <c r="O18" i="2" s="1"/>
  <c r="S18" i="2" s="1"/>
  <c r="K10" i="2" l="1"/>
  <c r="K14" i="2" s="1"/>
  <c r="F12" i="4"/>
  <c r="F13" i="4" s="1"/>
  <c r="F14" i="4" s="1"/>
  <c r="G14" i="2"/>
  <c r="E23" i="2"/>
  <c r="F11" i="4"/>
  <c r="D4" i="6" s="1"/>
  <c r="I14" i="2"/>
  <c r="M14" i="2" s="1"/>
  <c r="Q14" i="2" s="1"/>
  <c r="U14" i="2" s="1"/>
  <c r="C20" i="2"/>
  <c r="G20" i="2" s="1"/>
  <c r="K20" i="2" s="1"/>
  <c r="O20" i="2" s="1"/>
  <c r="S20" i="2" s="1"/>
  <c r="G17" i="2"/>
  <c r="K17" i="2" s="1"/>
  <c r="O17" i="2" s="1"/>
  <c r="S17" i="2" s="1"/>
  <c r="G4" i="2"/>
  <c r="G8" i="2" s="1"/>
  <c r="K4" i="2"/>
  <c r="K8" i="2" s="1"/>
  <c r="I8" i="2"/>
  <c r="M8" i="2" s="1"/>
  <c r="Q8" i="2" s="1"/>
  <c r="U8" i="2" s="1"/>
  <c r="T14" i="2"/>
  <c r="M20" i="2"/>
  <c r="Q20" i="2" s="1"/>
  <c r="U20" i="2" s="1"/>
  <c r="F14" i="2"/>
  <c r="H20" i="2"/>
  <c r="J14" i="2"/>
  <c r="H8" i="2"/>
  <c r="F8" i="2"/>
  <c r="O10" i="2" l="1"/>
  <c r="S10" i="2" s="1"/>
  <c r="O4" i="2"/>
  <c r="N14" i="2"/>
  <c r="F15" i="4"/>
  <c r="F20" i="2"/>
  <c r="L8" i="2"/>
  <c r="P8" i="2" s="1"/>
  <c r="I23" i="2"/>
  <c r="D5" i="6"/>
  <c r="O14" i="2"/>
  <c r="O8" i="2"/>
  <c r="S8" i="2" s="1"/>
  <c r="S4" i="2"/>
  <c r="L20" i="2"/>
  <c r="F21" i="2"/>
  <c r="C4" i="6" s="1"/>
  <c r="E4" i="6" s="1"/>
  <c r="C22" i="3" s="1"/>
  <c r="J20" i="2"/>
  <c r="J8" i="2"/>
  <c r="N8" i="2" l="1"/>
  <c r="D6" i="6"/>
  <c r="M23" i="2"/>
  <c r="J21" i="2"/>
  <c r="C5" i="6" s="1"/>
  <c r="E5" i="6" s="1"/>
  <c r="C23" i="3" s="1"/>
  <c r="S14" i="2"/>
  <c r="V14" i="2" s="1"/>
  <c r="R14" i="2"/>
  <c r="T8" i="2"/>
  <c r="R8" i="2"/>
  <c r="N20" i="2"/>
  <c r="N21" i="2" s="1"/>
  <c r="C6" i="6" s="1"/>
  <c r="P20" i="2"/>
  <c r="E6" i="6" l="1"/>
  <c r="C24" i="3" s="1"/>
  <c r="D7" i="6"/>
  <c r="V8" i="2"/>
  <c r="Q23" i="2"/>
  <c r="T20" i="2"/>
  <c r="U23" i="2" s="1"/>
  <c r="R20" i="2"/>
  <c r="R21" i="2" s="1"/>
  <c r="C7" i="6" s="1"/>
  <c r="E7" i="6" l="1"/>
  <c r="C25" i="3" s="1"/>
  <c r="D8" i="6"/>
  <c r="V20" i="2"/>
  <c r="V21" i="2" s="1"/>
  <c r="C8" i="6" s="1"/>
  <c r="E8" i="6" l="1"/>
  <c r="C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mni</author>
  </authors>
  <commentList>
    <comment ref="C4" authorId="0" shapeId="0" xr:uid="{00000000-0006-0000-0000-000001000000}">
      <text>
        <r>
          <rPr>
            <sz val="8"/>
            <color indexed="81"/>
            <rFont val="Tahoma"/>
            <family val="2"/>
          </rPr>
          <t>Enter estimated number of HD scanners sold pr year.</t>
        </r>
      </text>
    </comment>
    <comment ref="C5" authorId="0" shapeId="0" xr:uid="{00000000-0006-0000-0000-000002000000}">
      <text>
        <r>
          <rPr>
            <sz val="8"/>
            <color indexed="81"/>
            <rFont val="Tahoma"/>
            <family val="2"/>
          </rPr>
          <t>Enter estimated growth of scanner sales each year.</t>
        </r>
      </text>
    </comment>
    <comment ref="C6" authorId="0" shapeId="0" xr:uid="{00000000-0006-0000-0000-000003000000}">
      <text>
        <r>
          <rPr>
            <sz val="8"/>
            <color indexed="81"/>
            <rFont val="Tahoma"/>
            <family val="2"/>
          </rPr>
          <t>Enter estimated attachment rate (percentage of scanner sales where you attach a contract).</t>
        </r>
      </text>
    </comment>
    <comment ref="C8" authorId="0" shapeId="0" xr:uid="{00000000-0006-0000-0000-000004000000}">
      <text>
        <r>
          <rPr>
            <sz val="8"/>
            <color indexed="81"/>
            <rFont val="Tahoma"/>
            <family val="2"/>
          </rPr>
          <t>Enter estimated number of SD scanners sold pr year.</t>
        </r>
      </text>
    </comment>
    <comment ref="C9" authorId="0" shapeId="0" xr:uid="{00000000-0006-0000-0000-000005000000}">
      <text>
        <r>
          <rPr>
            <sz val="8"/>
            <color indexed="81"/>
            <rFont val="Tahoma"/>
            <family val="2"/>
          </rPr>
          <t>Enter estimated growth of scanner sales each year.</t>
        </r>
      </text>
    </comment>
    <comment ref="C10" authorId="0" shapeId="0" xr:uid="{00000000-0006-0000-0000-000006000000}">
      <text>
        <r>
          <rPr>
            <sz val="8"/>
            <color indexed="81"/>
            <rFont val="Tahoma"/>
            <family val="2"/>
          </rPr>
          <t>Enter estimated attachment rate (percentage of scanner sales where you attach a contract).</t>
        </r>
      </text>
    </comment>
    <comment ref="C12" authorId="0" shapeId="0" xr:uid="{00000000-0006-0000-0000-000007000000}">
      <text>
        <r>
          <rPr>
            <sz val="8"/>
            <color indexed="81"/>
            <rFont val="Tahoma"/>
            <family val="2"/>
          </rPr>
          <t>Enter estimated number of scanners that are still under factory warranty.</t>
        </r>
      </text>
    </comment>
    <comment ref="C13" authorId="0" shapeId="0" xr:uid="{00000000-0006-0000-0000-000008000000}">
      <text>
        <r>
          <rPr>
            <sz val="8"/>
            <color indexed="81"/>
            <rFont val="Tahoma"/>
            <family val="2"/>
          </rPr>
          <t>Enter estimated attachment rate (percentage of scanner sales where you attach a contract).</t>
        </r>
      </text>
    </comment>
    <comment ref="C15" authorId="0" shapeId="0" xr:uid="{00000000-0006-0000-0000-000009000000}">
      <text>
        <r>
          <rPr>
            <sz val="8"/>
            <color indexed="81"/>
            <rFont val="Tahoma"/>
            <family val="2"/>
          </rPr>
          <t>Enter price for onsite contract for scanner covered under warranty.</t>
        </r>
      </text>
    </comment>
    <comment ref="C16" authorId="0" shapeId="0" xr:uid="{00000000-0006-0000-0000-00000A000000}">
      <text>
        <r>
          <rPr>
            <sz val="8"/>
            <color indexed="81"/>
            <rFont val="Tahoma"/>
            <family val="2"/>
          </rPr>
          <t>Enter price for onsite contract for scanner not covered under warranty.</t>
        </r>
      </text>
    </comment>
    <comment ref="C17" authorId="0" shapeId="0" xr:uid="{00000000-0006-0000-0000-00000B000000}">
      <text>
        <r>
          <rPr>
            <sz val="8"/>
            <color indexed="81"/>
            <rFont val="Tahoma"/>
            <family val="2"/>
          </rPr>
          <t>Enter dealer kick back amount.</t>
        </r>
      </text>
    </comment>
    <comment ref="C19" authorId="0" shapeId="0" xr:uid="{00000000-0006-0000-0000-00000C000000}">
      <text>
        <r>
          <rPr>
            <sz val="8"/>
            <color indexed="81"/>
            <rFont val="Tahoma"/>
            <family val="2"/>
          </rPr>
          <t>Price in USD for One Year Service Contract from Contex. Using 3 year contracts will give a quicker return on investment. This calculator does not adjust for that.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mni</author>
  </authors>
  <commentList>
    <comment ref="C6" authorId="0" shapeId="0" xr:uid="{00000000-0006-0000-0100-000001000000}">
      <text>
        <r>
          <rPr>
            <sz val="8"/>
            <color indexed="81"/>
            <rFont val="Tahoma"/>
            <family val="2"/>
          </rPr>
          <t>Enter price of spare parts package for HD Ultra X in USD.</t>
        </r>
      </text>
    </comment>
    <comment ref="C7" authorId="0" shapeId="0" xr:uid="{00000000-0006-0000-0100-000004000000}">
      <text>
        <r>
          <rPr>
            <sz val="8"/>
            <color indexed="81"/>
            <rFont val="Tahoma"/>
            <family val="2"/>
          </rPr>
          <t>Enter price of spare parts package for IQQ X in USD.</t>
        </r>
      </text>
    </comment>
  </commentList>
</comments>
</file>

<file path=xl/sharedStrings.xml><?xml version="1.0" encoding="utf-8"?>
<sst xmlns="http://schemas.openxmlformats.org/spreadsheetml/2006/main" count="104" uniqueCount="58">
  <si>
    <t>Price from Contex</t>
  </si>
  <si>
    <t>Dealer margin</t>
  </si>
  <si>
    <t>Margin to Distributor</t>
  </si>
  <si>
    <t>Total</t>
  </si>
  <si>
    <t>Unit Sales / Install Base</t>
  </si>
  <si>
    <t>Price</t>
  </si>
  <si>
    <t>Revenue</t>
  </si>
  <si>
    <t>Year 1</t>
  </si>
  <si>
    <t>Year 2</t>
  </si>
  <si>
    <t>Year 3</t>
  </si>
  <si>
    <t>Year 4</t>
  </si>
  <si>
    <t>Year 5</t>
  </si>
  <si>
    <t>Install Base</t>
  </si>
  <si>
    <t>List Price on-site conversion</t>
  </si>
  <si>
    <t>Investment</t>
  </si>
  <si>
    <t>Install Base still under factory warranty</t>
  </si>
  <si>
    <t>Income</t>
  </si>
  <si>
    <t>On-site warranty conversion</t>
  </si>
  <si>
    <t>3 year on-site warranty</t>
  </si>
  <si>
    <t>Spare Parts warranty contract</t>
  </si>
  <si>
    <t>Dealer kick back</t>
  </si>
  <si>
    <t>Year</t>
  </si>
  <si>
    <t>Assumptions</t>
  </si>
  <si>
    <t>Attachment Rate for new sales</t>
  </si>
  <si>
    <t>Yearly Growth</t>
  </si>
  <si>
    <t>Attachment Rate for install base</t>
  </si>
  <si>
    <t>Growth</t>
  </si>
  <si>
    <t>Investment pr year</t>
  </si>
  <si>
    <t>Scanners under contract</t>
  </si>
  <si>
    <t>Investment in spare parts stock</t>
  </si>
  <si>
    <t>Margin</t>
  </si>
  <si>
    <t>Cash Flow Summary</t>
  </si>
  <si>
    <t xml:space="preserve">Fill in the red cells. </t>
  </si>
  <si>
    <t>How to use</t>
  </si>
  <si>
    <t>Fill in the red cells on the 2 first worksheets.</t>
  </si>
  <si>
    <t>Initial Investment</t>
  </si>
  <si>
    <t>Full ROI Calculator</t>
  </si>
  <si>
    <t>Input of investment in spare parts stock</t>
  </si>
  <si>
    <t>Full details of the ROI calculation</t>
  </si>
  <si>
    <t>Note</t>
  </si>
  <si>
    <t>Input of expected scanner sales and size of install base</t>
  </si>
  <si>
    <t>Review of resulting cash flow</t>
  </si>
  <si>
    <t>Return after year 1</t>
  </si>
  <si>
    <t>Return after year 2</t>
  </si>
  <si>
    <t>Return after year 3</t>
  </si>
  <si>
    <t>Return after year 4</t>
  </si>
  <si>
    <t>Return after year 5</t>
  </si>
  <si>
    <t>Cumulated Cash flow</t>
  </si>
  <si>
    <t>Calculator assumes worst case. This means that it assumes only 1 year contracts are sold. Profits are higher if 3 year contracts are sold. This also has a positive impact on cash flow</t>
  </si>
  <si>
    <t>Conversion Percentage</t>
  </si>
  <si>
    <t>Distributor Cash flow</t>
  </si>
  <si>
    <t>List price on-site contract 1 year (End Customer)</t>
  </si>
  <si>
    <t>HD Ultra X sales pr. Year (Units)</t>
  </si>
  <si>
    <t>IQQ X sales pr. Year (Units)</t>
  </si>
  <si>
    <t>HD Ultra X</t>
  </si>
  <si>
    <t>IQ Quattro X</t>
  </si>
  <si>
    <t xml:space="preserve">Spare Parts Stock: IQ Quattro X </t>
  </si>
  <si>
    <t xml:space="preserve">Spare Parts Stock: HD Ultra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</si>
</sst>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-[$$-409]* #,##0_ ;_-[$$-409]* \-#,##0\ ;_-[$$-409]* &quot;-&quot;??_ ;_-@_ 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29" applyNumberFormat="0" applyAlignment="0" applyProtection="0"/>
  </cellStyleXfs>
  <cellXfs count="80">
    <xf numFmtId="0" fontId="0" fillId="0" borderId="0" xfId="0"/>
    <xf numFmtId="166" fontId="0" fillId="0" borderId="0" xfId="2" applyNumberFormat="1" applyFont="1"/>
    <xf numFmtId="0" fontId="0" fillId="0" borderId="1" xfId="0" applyBorder="1"/>
    <xf numFmtId="9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2" applyNumberFormat="1" applyFont="1" applyBorder="1"/>
    <xf numFmtId="167" fontId="0" fillId="0" borderId="0" xfId="1" applyNumberFormat="1" applyFont="1" applyBorder="1"/>
    <xf numFmtId="167" fontId="0" fillId="0" borderId="0" xfId="0" applyNumberFormat="1"/>
    <xf numFmtId="1" fontId="0" fillId="0" borderId="0" xfId="0" applyNumberFormat="1"/>
    <xf numFmtId="166" fontId="0" fillId="0" borderId="0" xfId="0" applyNumberFormat="1" applyAlignment="1">
      <alignment horizontal="right"/>
    </xf>
    <xf numFmtId="9" fontId="0" fillId="0" borderId="2" xfId="0" applyNumberFormat="1" applyBorder="1"/>
    <xf numFmtId="166" fontId="0" fillId="0" borderId="0" xfId="2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7" xfId="0" applyBorder="1"/>
    <xf numFmtId="0" fontId="0" fillId="0" borderId="8" xfId="0" applyBorder="1"/>
    <xf numFmtId="166" fontId="0" fillId="0" borderId="8" xfId="0" applyNumberFormat="1" applyBorder="1"/>
    <xf numFmtId="9" fontId="0" fillId="0" borderId="9" xfId="0" applyNumberFormat="1" applyBorder="1"/>
    <xf numFmtId="166" fontId="0" fillId="0" borderId="10" xfId="0" applyNumberFormat="1" applyBorder="1"/>
    <xf numFmtId="166" fontId="0" fillId="0" borderId="7" xfId="0" applyNumberFormat="1" applyBorder="1"/>
    <xf numFmtId="166" fontId="0" fillId="0" borderId="7" xfId="2" applyNumberFormat="1" applyFont="1" applyBorder="1"/>
    <xf numFmtId="166" fontId="0" fillId="0" borderId="14" xfId="2" applyNumberFormat="1" applyFont="1" applyBorder="1"/>
    <xf numFmtId="166" fontId="0" fillId="0" borderId="15" xfId="2" applyNumberFormat="1" applyFont="1" applyBorder="1"/>
    <xf numFmtId="0" fontId="0" fillId="0" borderId="3" xfId="0" applyBorder="1"/>
    <xf numFmtId="0" fontId="0" fillId="0" borderId="4" xfId="0" applyBorder="1"/>
    <xf numFmtId="0" fontId="0" fillId="0" borderId="16" xfId="0" applyBorder="1"/>
    <xf numFmtId="166" fontId="0" fillId="0" borderId="18" xfId="0" applyNumberFormat="1" applyBorder="1"/>
    <xf numFmtId="0" fontId="0" fillId="0" borderId="18" xfId="0" applyBorder="1"/>
    <xf numFmtId="166" fontId="0" fillId="0" borderId="19" xfId="0" applyNumberFormat="1" applyBorder="1"/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6" fontId="0" fillId="0" borderId="20" xfId="0" applyNumberFormat="1" applyBorder="1"/>
    <xf numFmtId="0" fontId="0" fillId="0" borderId="9" xfId="0" applyBorder="1" applyAlignment="1">
      <alignment horizontal="right"/>
    </xf>
    <xf numFmtId="166" fontId="0" fillId="0" borderId="8" xfId="0" applyNumberFormat="1" applyBorder="1" applyAlignment="1">
      <alignment horizontal="right"/>
    </xf>
    <xf numFmtId="9" fontId="0" fillId="0" borderId="9" xfId="0" applyNumberFormat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6" fontId="0" fillId="0" borderId="22" xfId="0" applyNumberFormat="1" applyBorder="1"/>
    <xf numFmtId="0" fontId="0" fillId="0" borderId="24" xfId="0" applyBorder="1"/>
    <xf numFmtId="0" fontId="0" fillId="0" borderId="23" xfId="0" applyBorder="1" applyAlignment="1">
      <alignment horizontal="right" wrapText="1"/>
    </xf>
    <xf numFmtId="0" fontId="0" fillId="0" borderId="21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right" wrapText="1"/>
    </xf>
    <xf numFmtId="166" fontId="0" fillId="0" borderId="27" xfId="2" applyNumberFormat="1" applyFont="1" applyBorder="1"/>
    <xf numFmtId="0" fontId="0" fillId="0" borderId="2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66" fontId="2" fillId="0" borderId="0" xfId="0" applyNumberFormat="1" applyFont="1"/>
    <xf numFmtId="166" fontId="0" fillId="0" borderId="22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" fontId="0" fillId="0" borderId="9" xfId="0" applyNumberFormat="1" applyBorder="1"/>
    <xf numFmtId="166" fontId="0" fillId="0" borderId="17" xfId="0" applyNumberFormat="1" applyBorder="1"/>
    <xf numFmtId="166" fontId="0" fillId="0" borderId="27" xfId="0" applyNumberFormat="1" applyBorder="1"/>
    <xf numFmtId="166" fontId="0" fillId="0" borderId="28" xfId="0" applyNumberFormat="1" applyBorder="1"/>
    <xf numFmtId="1" fontId="0" fillId="0" borderId="2" xfId="0" applyNumberFormat="1" applyBorder="1"/>
    <xf numFmtId="0" fontId="3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0" xfId="0" applyFont="1"/>
    <xf numFmtId="0" fontId="6" fillId="3" borderId="29" xfId="4" applyProtection="1">
      <protection locked="0"/>
    </xf>
    <xf numFmtId="9" fontId="6" fillId="3" borderId="29" xfId="4" applyNumberFormat="1" applyProtection="1">
      <protection locked="0"/>
    </xf>
    <xf numFmtId="166" fontId="6" fillId="3" borderId="29" xfId="4" applyNumberFormat="1" applyProtection="1">
      <protection locked="0"/>
    </xf>
    <xf numFmtId="0" fontId="2" fillId="0" borderId="0" xfId="0" applyFont="1"/>
    <xf numFmtId="0" fontId="5" fillId="2" borderId="0" xfId="3"/>
    <xf numFmtId="166" fontId="5" fillId="2" borderId="0" xfId="3" applyNumberFormat="1" applyBorder="1"/>
    <xf numFmtId="166" fontId="7" fillId="0" borderId="0" xfId="0" applyNumberFormat="1" applyFont="1" applyProtection="1">
      <protection hidden="1"/>
    </xf>
    <xf numFmtId="0" fontId="5" fillId="2" borderId="0" xfId="3" applyAlignment="1">
      <alignment horizontal="left" vertical="top" wrapText="1"/>
    </xf>
    <xf numFmtId="0" fontId="9" fillId="2" borderId="0" xfId="3" applyFont="1" applyAlignment="1">
      <alignment horizontal="left"/>
    </xf>
    <xf numFmtId="0" fontId="2" fillId="0" borderId="0" xfId="0" applyFont="1" applyAlignment="1">
      <alignment horizontal="right"/>
    </xf>
  </cellXfs>
  <cellStyles count="5">
    <cellStyle name="Comma" xfId="1" builtinId="3"/>
    <cellStyle name="Currency" xfId="2" builtinId="4"/>
    <cellStyle name="Good" xfId="3" builtinId="26"/>
    <cellStyle name="Input" xfId="4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Cumulated Cash flow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'Distributor Cash flow'!$E$3</c:f>
              <c:strCache>
                <c:ptCount val="1"/>
                <c:pt idx="0">
                  <c:v>Cumulated Cash flow</c:v>
                </c:pt>
              </c:strCache>
            </c:strRef>
          </c:tx>
          <c:marker>
            <c:symbol val="none"/>
          </c:marker>
          <c:val>
            <c:numRef>
              <c:f>'Distributor Cash flow'!$E$4:$E$8</c:f>
              <c:numCache>
                <c:formatCode>_-[$$-409]* #,##0_ ;_-[$$-409]* \-#,##0\ ;_-[$$-409]* "-"??_ ;_-@_ </c:formatCode>
                <c:ptCount val="5"/>
                <c:pt idx="0">
                  <c:v>5350</c:v>
                </c:pt>
                <c:pt idx="1">
                  <c:v>15906.2</c:v>
                </c:pt>
                <c:pt idx="2">
                  <c:v>32782.71</c:v>
                </c:pt>
                <c:pt idx="3">
                  <c:v>54255.045499999993</c:v>
                </c:pt>
                <c:pt idx="4">
                  <c:v>79802.597774999987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D-499F-BD81-D96F25AC7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06144"/>
        <c:axId val="78930688"/>
      </c:lineChart>
      <c:catAx>
        <c:axId val="6720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8930688"/>
        <c:crosses val="autoZero"/>
        <c:auto val="1"/>
        <c:lblAlgn val="ctr"/>
        <c:lblOffset val="100"/>
        <c:noMultiLvlLbl val="0"/>
      </c:catAx>
      <c:valAx>
        <c:axId val="78930688"/>
        <c:scaling>
          <c:orientation val="minMax"/>
        </c:scaling>
        <c:delete val="0"/>
        <c:axPos val="l"/>
        <c:majorGridlines/>
        <c:numFmt formatCode="_-[$$-409]* #,##0_ ;_-[$$-409]* \-#,##0\ ;_-[$$-409]* &quot;-&quot;??_ ;_-@_ " sourceLinked="1"/>
        <c:majorTickMark val="out"/>
        <c:minorTickMark val="none"/>
        <c:tickLblPos val="nextTo"/>
        <c:crossAx val="6720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'Distributor Cash flow'!$C$3</c:f>
              <c:strCache>
                <c:ptCount val="1"/>
                <c:pt idx="0">
                  <c:v>Margin</c:v>
                </c:pt>
              </c:strCache>
            </c:strRef>
          </c:tx>
          <c:invertIfNegative val="0"/>
          <c:val>
            <c:numRef>
              <c:f>'Distributor Cash flow'!$C$4:$C$8</c:f>
              <c:numCache>
                <c:formatCode>_-[$$-409]* #,##0_ ;_-[$$-409]* \-#,##0\ ;_-[$$-409]* "-"??_ ;_-@_ </c:formatCode>
                <c:ptCount val="5"/>
                <c:pt idx="0">
                  <c:v>5350</c:v>
                </c:pt>
                <c:pt idx="1">
                  <c:v>11480</c:v>
                </c:pt>
                <c:pt idx="2">
                  <c:v>17846.5</c:v>
                </c:pt>
                <c:pt idx="3">
                  <c:v>22490.824999999997</c:v>
                </c:pt>
                <c:pt idx="4">
                  <c:v>26616.966249999998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3-4DE4-9D6F-C0E50A8E4BE4}"/>
            </c:ext>
          </c:extLst>
        </c:ser>
        <c:ser>
          <c:idx val="1"/>
          <c:order val="1"/>
          <c:tx>
            <c:strRef>
              <c:f>'Distributor Cash flow'!$D$3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val>
            <c:numRef>
              <c:f>'Distributor Cash flow'!$D$4:$D$8</c:f>
              <c:numCache>
                <c:formatCode>_-[$$-409]* #,##0_ ;_-[$$-409]* \-#,##0\ ;_-[$$-409]* "-"??_ ;_-@_ </c:formatCode>
                <c:ptCount val="5"/>
                <c:pt idx="0">
                  <c:v>0</c:v>
                </c:pt>
                <c:pt idx="1">
                  <c:v>-923.80000000000007</c:v>
                </c:pt>
                <c:pt idx="2">
                  <c:v>-969.99</c:v>
                </c:pt>
                <c:pt idx="3">
                  <c:v>-1018.4895000000001</c:v>
                </c:pt>
                <c:pt idx="4">
                  <c:v>-1069.4139750000002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3-4DE4-9D6F-C0E50A8E4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6032"/>
        <c:axId val="78957568"/>
        <c:axId val="0"/>
      </c:bar3DChart>
      <c:catAx>
        <c:axId val="7895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78957568"/>
        <c:crosses val="autoZero"/>
        <c:auto val="1"/>
        <c:lblAlgn val="ctr"/>
        <c:lblOffset val="100"/>
        <c:noMultiLvlLbl val="0"/>
      </c:catAx>
      <c:valAx>
        <c:axId val="78957568"/>
        <c:scaling>
          <c:orientation val="minMax"/>
        </c:scaling>
        <c:delete val="0"/>
        <c:axPos val="l"/>
        <c:majorGridlines/>
        <c:numFmt formatCode="_-[$$-409]* #,##0_ ;_-[$$-409]* \-#,##0\ ;_-[$$-409]* &quot;-&quot;??_ ;_-@_ " sourceLinked="1"/>
        <c:majorTickMark val="out"/>
        <c:minorTickMark val="none"/>
        <c:tickLblPos val="nextTo"/>
        <c:crossAx val="7895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1280410</xdr:colOff>
      <xdr:row>10</xdr:row>
      <xdr:rowOff>7808</xdr:rowOff>
    </xdr:from>
    <xdr:to>
      <xdr:col>13</xdr:col>
      <xdr:colOff>304488</xdr:colOff>
      <xdr:row>24</xdr:row>
      <xdr:rowOff>124918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187377</xdr:rowOff>
    </xdr:from>
    <xdr:to>
      <xdr:col>5</xdr:col>
      <xdr:colOff>905655</xdr:colOff>
      <xdr:row>24</xdr:row>
      <xdr:rowOff>117110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zoomScaleNormal="100" workbookViewId="0">
      <selection activeCell="E5" sqref="E5"/>
    </sheetView>
  </sheetViews>
  <sheetFormatPr defaultRowHeight="15" x14ac:dyDescent="0.25"/>
  <cols>
    <col min="1" max="1" width="8.28515625" customWidth="1"/>
    <col min="2" max="2" width="36.140625" bestFit="1" customWidth="1"/>
    <col min="3" max="3" width="13.7109375" customWidth="1"/>
    <col min="4" max="4" width="11.5703125" customWidth="1"/>
    <col min="7" max="7" width="27.7109375" customWidth="1"/>
    <col min="8" max="10" width="14.42578125" customWidth="1"/>
    <col min="11" max="11" width="18" bestFit="1" customWidth="1"/>
  </cols>
  <sheetData>
    <row r="1" spans="2:9" x14ac:dyDescent="0.25">
      <c r="B1" s="4"/>
    </row>
    <row r="2" spans="2:9" ht="23.25" x14ac:dyDescent="0.35">
      <c r="B2" s="69" t="s">
        <v>22</v>
      </c>
      <c r="C2" t="s">
        <v>32</v>
      </c>
    </row>
    <row r="4" spans="2:9" x14ac:dyDescent="0.25">
      <c r="B4" t="s">
        <v>52</v>
      </c>
      <c r="C4" s="70">
        <v>20</v>
      </c>
      <c r="G4" s="73" t="s">
        <v>33</v>
      </c>
    </row>
    <row r="5" spans="2:9" x14ac:dyDescent="0.25">
      <c r="B5" s="13" t="s">
        <v>24</v>
      </c>
      <c r="C5" s="71">
        <v>0.05</v>
      </c>
      <c r="G5" t="s">
        <v>34</v>
      </c>
    </row>
    <row r="6" spans="2:9" x14ac:dyDescent="0.25">
      <c r="B6" t="s">
        <v>23</v>
      </c>
      <c r="C6" s="71">
        <v>0.25</v>
      </c>
    </row>
    <row r="7" spans="2:9" x14ac:dyDescent="0.25">
      <c r="G7" s="73" t="s">
        <v>22</v>
      </c>
      <c r="H7" t="s">
        <v>40</v>
      </c>
    </row>
    <row r="8" spans="2:9" x14ac:dyDescent="0.25">
      <c r="B8" t="s">
        <v>53</v>
      </c>
      <c r="C8" s="70">
        <v>20</v>
      </c>
      <c r="G8" s="73" t="s">
        <v>35</v>
      </c>
      <c r="H8" t="s">
        <v>37</v>
      </c>
    </row>
    <row r="9" spans="2:9" x14ac:dyDescent="0.25">
      <c r="B9" s="13" t="s">
        <v>24</v>
      </c>
      <c r="C9" s="71">
        <v>0.05</v>
      </c>
      <c r="G9" s="73" t="s">
        <v>50</v>
      </c>
      <c r="H9" t="s">
        <v>41</v>
      </c>
    </row>
    <row r="10" spans="2:9" x14ac:dyDescent="0.25">
      <c r="B10" t="s">
        <v>23</v>
      </c>
      <c r="C10" s="71">
        <v>0.25</v>
      </c>
      <c r="G10" s="73" t="s">
        <v>36</v>
      </c>
      <c r="H10" t="s">
        <v>38</v>
      </c>
    </row>
    <row r="12" spans="2:9" x14ac:dyDescent="0.25">
      <c r="B12" t="s">
        <v>15</v>
      </c>
      <c r="C12" s="70">
        <v>20</v>
      </c>
    </row>
    <row r="13" spans="2:9" x14ac:dyDescent="0.25">
      <c r="B13" t="s">
        <v>25</v>
      </c>
      <c r="C13" s="71">
        <v>0.25</v>
      </c>
      <c r="G13" s="78" t="s">
        <v>39</v>
      </c>
      <c r="H13" s="78"/>
      <c r="I13" s="78"/>
    </row>
    <row r="14" spans="2:9" x14ac:dyDescent="0.25">
      <c r="G14" s="77" t="s">
        <v>48</v>
      </c>
      <c r="H14" s="77"/>
      <c r="I14" s="77"/>
    </row>
    <row r="15" spans="2:9" x14ac:dyDescent="0.25">
      <c r="B15" t="s">
        <v>17</v>
      </c>
      <c r="C15" s="72">
        <v>300</v>
      </c>
      <c r="G15" s="77"/>
      <c r="H15" s="77"/>
      <c r="I15" s="77"/>
    </row>
    <row r="16" spans="2:9" x14ac:dyDescent="0.25">
      <c r="B16" t="s">
        <v>18</v>
      </c>
      <c r="C16" s="72">
        <v>1095</v>
      </c>
      <c r="G16" s="77"/>
      <c r="H16" s="77"/>
      <c r="I16" s="77"/>
    </row>
    <row r="17" spans="2:9" x14ac:dyDescent="0.25">
      <c r="B17" t="s">
        <v>20</v>
      </c>
      <c r="C17" s="72">
        <v>100</v>
      </c>
      <c r="G17" s="77"/>
      <c r="H17" s="77"/>
      <c r="I17" s="77"/>
    </row>
    <row r="18" spans="2:9" x14ac:dyDescent="0.25">
      <c r="G18" s="77"/>
      <c r="H18" s="77"/>
      <c r="I18" s="77"/>
    </row>
    <row r="19" spans="2:9" x14ac:dyDescent="0.25">
      <c r="B19" t="s">
        <v>19</v>
      </c>
      <c r="C19" s="72">
        <v>325</v>
      </c>
    </row>
    <row r="21" spans="2:9" x14ac:dyDescent="0.25">
      <c r="B21" s="73" t="s">
        <v>31</v>
      </c>
    </row>
    <row r="22" spans="2:9" x14ac:dyDescent="0.25">
      <c r="B22" s="74" t="s">
        <v>42</v>
      </c>
      <c r="C22" s="75">
        <f>'Distributor Cash flow'!E4</f>
        <v>5350</v>
      </c>
    </row>
    <row r="23" spans="2:9" x14ac:dyDescent="0.25">
      <c r="B23" s="74" t="s">
        <v>43</v>
      </c>
      <c r="C23" s="75">
        <f>'Distributor Cash flow'!E5</f>
        <v>15906.2</v>
      </c>
    </row>
    <row r="24" spans="2:9" x14ac:dyDescent="0.25">
      <c r="B24" s="74" t="s">
        <v>44</v>
      </c>
      <c r="C24" s="75">
        <f>'Distributor Cash flow'!E6</f>
        <v>32782.71</v>
      </c>
    </row>
    <row r="25" spans="2:9" x14ac:dyDescent="0.25">
      <c r="B25" s="74" t="s">
        <v>45</v>
      </c>
      <c r="C25" s="75">
        <f>'Distributor Cash flow'!E7</f>
        <v>54255.045499999993</v>
      </c>
    </row>
    <row r="26" spans="2:9" x14ac:dyDescent="0.25">
      <c r="B26" s="74" t="s">
        <v>46</v>
      </c>
      <c r="C26" s="75">
        <f>'Distributor Cash flow'!E8</f>
        <v>79802.597774999987</v>
      </c>
    </row>
  </sheetData>
  <sheetProtection algorithmName="SHA-512" hashValue="5y0Wcx8M396Oj2dA2mScZgqznrmqk40HtUgEsiuJXrH57lIG/tkUPnnD/RAuNnjWeZKp8AlNPp5Wz7JdTsh3tw==" saltValue="zaQW5hwMat2FUY36yaUs7g==" spinCount="100000" sheet="1" objects="1" scenarios="1"/>
  <mergeCells count="2">
    <mergeCell ref="G14:I18"/>
    <mergeCell ref="G13:I13"/>
  </mergeCells>
  <pageMargins left="0.7" right="0.7" top="0.75" bottom="0.75" header="0.3" footer="0.3"/>
  <pageSetup paperSize="9" orientation="portrait" verticalDpi="300" r:id="rId1"/>
  <headerFooter>
    <oddHeader>&amp;CCONTEX SERVICE PROGRAM, OCTOBER 2009
ROI Calculator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5"/>
  <sheetViews>
    <sheetView zoomScaleNormal="100" workbookViewId="0">
      <selection activeCell="B10" sqref="B10"/>
    </sheetView>
  </sheetViews>
  <sheetFormatPr defaultRowHeight="15" x14ac:dyDescent="0.25"/>
  <cols>
    <col min="2" max="2" width="32.42578125" customWidth="1"/>
    <col min="6" max="6" width="13.140625" customWidth="1"/>
  </cols>
  <sheetData>
    <row r="3" spans="2:6" x14ac:dyDescent="0.25">
      <c r="C3" t="s">
        <v>32</v>
      </c>
    </row>
    <row r="5" spans="2:6" x14ac:dyDescent="0.25">
      <c r="B5" s="73" t="s">
        <v>29</v>
      </c>
      <c r="D5" s="4"/>
      <c r="E5" s="4"/>
      <c r="F5" s="4"/>
    </row>
    <row r="6" spans="2:6" x14ac:dyDescent="0.25">
      <c r="B6" t="s">
        <v>57</v>
      </c>
      <c r="C6" s="72">
        <v>10745</v>
      </c>
    </row>
    <row r="7" spans="2:6" x14ac:dyDescent="0.25">
      <c r="B7" t="s">
        <v>56</v>
      </c>
      <c r="C7" s="72">
        <v>7731</v>
      </c>
    </row>
    <row r="8" spans="2:6" x14ac:dyDescent="0.25">
      <c r="C8" s="76">
        <f>SUM(C6:C7)</f>
        <v>18476</v>
      </c>
    </row>
    <row r="10" spans="2:6" x14ac:dyDescent="0.25">
      <c r="B10" t="s">
        <v>27</v>
      </c>
    </row>
    <row r="11" spans="2:6" x14ac:dyDescent="0.25">
      <c r="B11" t="s">
        <v>7</v>
      </c>
      <c r="C11" s="5"/>
      <c r="F11" s="5">
        <f>SUM(F6:F7)</f>
        <v>0</v>
      </c>
    </row>
    <row r="12" spans="2:6" x14ac:dyDescent="0.25">
      <c r="B12" t="s">
        <v>8</v>
      </c>
      <c r="D12" t="s">
        <v>26</v>
      </c>
      <c r="E12" s="3">
        <f>(Assumptions!C$5+Assumptions!C$9)/2</f>
        <v>0.05</v>
      </c>
      <c r="F12" s="5">
        <f>C8*E12</f>
        <v>923.80000000000007</v>
      </c>
    </row>
    <row r="13" spans="2:6" x14ac:dyDescent="0.25">
      <c r="B13" t="s">
        <v>9</v>
      </c>
      <c r="D13" t="s">
        <v>26</v>
      </c>
      <c r="E13" s="3">
        <f>(Assumptions!C$5+Assumptions!C$9)/2</f>
        <v>0.05</v>
      </c>
      <c r="F13" s="5">
        <f>(C8+F12)*E13</f>
        <v>969.99</v>
      </c>
    </row>
    <row r="14" spans="2:6" x14ac:dyDescent="0.25">
      <c r="B14" t="s">
        <v>10</v>
      </c>
      <c r="D14" t="s">
        <v>26</v>
      </c>
      <c r="E14" s="3">
        <f>(Assumptions!C$5+Assumptions!C$9)/2</f>
        <v>0.05</v>
      </c>
      <c r="F14" s="5">
        <f>(C8+F12 + F13)*E14</f>
        <v>1018.4895000000001</v>
      </c>
    </row>
    <row r="15" spans="2:6" x14ac:dyDescent="0.25">
      <c r="B15" t="s">
        <v>11</v>
      </c>
      <c r="D15" t="s">
        <v>26</v>
      </c>
      <c r="E15" s="3">
        <f>(Assumptions!C$5+Assumptions!C$9)/2</f>
        <v>0.05</v>
      </c>
      <c r="F15" s="5">
        <f>(C8+F12+F13+F14)*E15</f>
        <v>1069.4139750000002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9"/>
  <sheetViews>
    <sheetView zoomScale="122" zoomScaleNormal="122" workbookViewId="0">
      <selection activeCell="A7" sqref="A7"/>
    </sheetView>
  </sheetViews>
  <sheetFormatPr defaultRowHeight="15" x14ac:dyDescent="0.25"/>
  <cols>
    <col min="3" max="3" width="14" customWidth="1"/>
    <col min="4" max="4" width="12.5703125" customWidth="1"/>
    <col min="5" max="6" width="19.28515625" bestFit="1" customWidth="1"/>
  </cols>
  <sheetData>
    <row r="3" spans="2:6" s="73" customFormat="1" x14ac:dyDescent="0.25">
      <c r="B3" s="73" t="s">
        <v>21</v>
      </c>
      <c r="C3" s="79" t="s">
        <v>30</v>
      </c>
      <c r="D3" s="79" t="s">
        <v>14</v>
      </c>
      <c r="E3" s="79" t="s">
        <v>47</v>
      </c>
      <c r="F3" s="79"/>
    </row>
    <row r="4" spans="2:6" x14ac:dyDescent="0.25">
      <c r="B4" t="s">
        <v>7</v>
      </c>
      <c r="C4" s="5">
        <f>'Full ROI Calculation'!F21</f>
        <v>5350</v>
      </c>
      <c r="D4" s="5">
        <f>-'Initial Investment'!F11</f>
        <v>0</v>
      </c>
      <c r="E4" s="5">
        <f>C4+D4</f>
        <v>5350</v>
      </c>
      <c r="F4" s="5"/>
    </row>
    <row r="5" spans="2:6" x14ac:dyDescent="0.25">
      <c r="B5" t="s">
        <v>8</v>
      </c>
      <c r="C5" s="5">
        <f>'Full ROI Calculation'!J21</f>
        <v>11480</v>
      </c>
      <c r="D5" s="5">
        <f>-'Initial Investment'!F12</f>
        <v>-923.80000000000007</v>
      </c>
      <c r="E5" s="5">
        <f>C5+D5+E4</f>
        <v>15906.2</v>
      </c>
      <c r="F5" s="5"/>
    </row>
    <row r="6" spans="2:6" x14ac:dyDescent="0.25">
      <c r="B6" t="s">
        <v>9</v>
      </c>
      <c r="C6" s="5">
        <f>'Full ROI Calculation'!N21</f>
        <v>17846.5</v>
      </c>
      <c r="D6" s="5">
        <f>-'Initial Investment'!F13</f>
        <v>-969.99</v>
      </c>
      <c r="E6" s="5">
        <f t="shared" ref="E6:E8" si="0">C6+D6+E5</f>
        <v>32782.71</v>
      </c>
      <c r="F6" s="5"/>
    </row>
    <row r="7" spans="2:6" x14ac:dyDescent="0.25">
      <c r="B7" t="s">
        <v>10</v>
      </c>
      <c r="C7" s="5">
        <f>'Full ROI Calculation'!R21</f>
        <v>22490.824999999997</v>
      </c>
      <c r="D7" s="5">
        <f>-'Initial Investment'!F14</f>
        <v>-1018.4895000000001</v>
      </c>
      <c r="E7" s="5">
        <f t="shared" si="0"/>
        <v>54255.045499999993</v>
      </c>
      <c r="F7" s="5"/>
    </row>
    <row r="8" spans="2:6" x14ac:dyDescent="0.25">
      <c r="B8" t="s">
        <v>11</v>
      </c>
      <c r="C8" s="5">
        <f>'Full ROI Calculation'!V21</f>
        <v>26616.966249999998</v>
      </c>
      <c r="D8" s="5">
        <f>-'Initial Investment'!F15</f>
        <v>-1069.4139750000002</v>
      </c>
      <c r="E8" s="5">
        <f t="shared" si="0"/>
        <v>79802.597774999987</v>
      </c>
      <c r="F8" s="5"/>
    </row>
    <row r="9" spans="2:6" x14ac:dyDescent="0.25">
      <c r="E9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3"/>
  <sheetViews>
    <sheetView workbookViewId="0">
      <selection activeCell="A11" sqref="A11"/>
    </sheetView>
  </sheetViews>
  <sheetFormatPr defaultRowHeight="15" x14ac:dyDescent="0.25"/>
  <cols>
    <col min="1" max="1" width="12.85546875" bestFit="1" customWidth="1"/>
    <col min="2" max="2" width="44.140625" bestFit="1" customWidth="1"/>
    <col min="3" max="3" width="11.140625" bestFit="1" customWidth="1"/>
    <col min="4" max="4" width="12" customWidth="1"/>
    <col min="5" max="5" width="21.85546875" bestFit="1" customWidth="1"/>
    <col min="6" max="6" width="13.85546875" customWidth="1"/>
    <col min="7" max="7" width="11.140625" customWidth="1"/>
    <col min="8" max="8" width="11" style="4" bestFit="1" customWidth="1"/>
    <col min="9" max="9" width="21.85546875" bestFit="1" customWidth="1"/>
    <col min="10" max="10" width="9.7109375" bestFit="1" customWidth="1"/>
    <col min="11" max="11" width="10.28515625" bestFit="1" customWidth="1"/>
    <col min="12" max="12" width="14" style="4" customWidth="1"/>
    <col min="13" max="13" width="21.85546875" style="4" bestFit="1" customWidth="1"/>
    <col min="14" max="14" width="14" style="4" customWidth="1"/>
    <col min="15" max="15" width="7.7109375" bestFit="1" customWidth="1"/>
    <col min="16" max="16" width="12.5703125" customWidth="1"/>
    <col min="17" max="17" width="21.85546875" bestFit="1" customWidth="1"/>
    <col min="18" max="18" width="10.28515625" bestFit="1" customWidth="1"/>
    <col min="20" max="20" width="13.85546875" customWidth="1"/>
    <col min="21" max="21" width="21.85546875" bestFit="1" customWidth="1"/>
  </cols>
  <sheetData>
    <row r="1" spans="1:22" ht="15.75" thickBot="1" x14ac:dyDescent="0.3"/>
    <row r="2" spans="1:22" s="61" customFormat="1" ht="19.5" thickBot="1" x14ac:dyDescent="0.35">
      <c r="C2" s="62" t="s">
        <v>7</v>
      </c>
      <c r="D2" s="63"/>
      <c r="E2" s="63"/>
      <c r="F2" s="64"/>
      <c r="G2" s="65" t="s">
        <v>8</v>
      </c>
      <c r="H2" s="66"/>
      <c r="I2" s="63"/>
      <c r="J2" s="64"/>
      <c r="K2" s="67" t="s">
        <v>9</v>
      </c>
      <c r="L2" s="66"/>
      <c r="M2" s="66"/>
      <c r="N2" s="68"/>
      <c r="O2" s="67" t="s">
        <v>10</v>
      </c>
      <c r="P2" s="63"/>
      <c r="Q2" s="66"/>
      <c r="R2" s="64"/>
      <c r="S2" s="62" t="s">
        <v>11</v>
      </c>
      <c r="T2" s="63"/>
      <c r="U2" s="63"/>
      <c r="V2" s="64"/>
    </row>
    <row r="3" spans="1:22" ht="46.5" customHeight="1" thickBot="1" x14ac:dyDescent="0.3">
      <c r="C3" s="43" t="s">
        <v>5</v>
      </c>
      <c r="D3" s="44" t="s">
        <v>4</v>
      </c>
      <c r="E3" s="45" t="s">
        <v>49</v>
      </c>
      <c r="F3" s="46" t="s">
        <v>6</v>
      </c>
      <c r="G3" s="47" t="s">
        <v>5</v>
      </c>
      <c r="H3" s="48" t="s">
        <v>4</v>
      </c>
      <c r="I3" s="45" t="s">
        <v>49</v>
      </c>
      <c r="J3" s="46" t="s">
        <v>6</v>
      </c>
      <c r="K3" s="50" t="s">
        <v>5</v>
      </c>
      <c r="L3" s="48" t="s">
        <v>4</v>
      </c>
      <c r="M3" s="45" t="s">
        <v>49</v>
      </c>
      <c r="N3" s="46" t="s">
        <v>6</v>
      </c>
      <c r="O3" s="55" t="s">
        <v>5</v>
      </c>
      <c r="P3" s="34" t="s">
        <v>4</v>
      </c>
      <c r="Q3" s="35" t="s">
        <v>49</v>
      </c>
      <c r="R3" s="36" t="s">
        <v>6</v>
      </c>
      <c r="S3" s="55" t="s">
        <v>5</v>
      </c>
      <c r="T3" s="34" t="s">
        <v>4</v>
      </c>
      <c r="U3" s="35" t="s">
        <v>49</v>
      </c>
      <c r="V3" s="36" t="s">
        <v>6</v>
      </c>
    </row>
    <row r="4" spans="1:22" x14ac:dyDescent="0.25">
      <c r="A4" t="s">
        <v>54</v>
      </c>
      <c r="B4" t="s">
        <v>13</v>
      </c>
      <c r="C4" s="24">
        <f>Assumptions!C15</f>
        <v>300</v>
      </c>
      <c r="D4" s="28"/>
      <c r="F4" s="20"/>
      <c r="G4" s="31">
        <f>C4</f>
        <v>300</v>
      </c>
      <c r="J4" s="20"/>
      <c r="K4" s="31">
        <f>C4</f>
        <v>300</v>
      </c>
      <c r="N4" s="18"/>
      <c r="O4" s="57">
        <f>K4</f>
        <v>300</v>
      </c>
      <c r="P4" s="16"/>
      <c r="Q4" s="16"/>
      <c r="R4" s="17"/>
      <c r="S4" s="57">
        <f>O4</f>
        <v>300</v>
      </c>
      <c r="T4" s="16"/>
      <c r="U4" s="16"/>
      <c r="V4" s="17"/>
    </row>
    <row r="5" spans="1:22" x14ac:dyDescent="0.25">
      <c r="B5" t="s">
        <v>51</v>
      </c>
      <c r="C5" s="25"/>
      <c r="D5" s="28"/>
      <c r="F5" s="20"/>
      <c r="G5" s="32"/>
      <c r="J5" s="20"/>
      <c r="K5" s="31"/>
      <c r="N5" s="18"/>
      <c r="O5" s="32"/>
      <c r="R5" s="20"/>
      <c r="S5" s="31"/>
      <c r="V5" s="20"/>
    </row>
    <row r="6" spans="1:22" x14ac:dyDescent="0.25">
      <c r="B6" t="s">
        <v>1</v>
      </c>
      <c r="C6" s="25">
        <f>Assumptions!C17</f>
        <v>100</v>
      </c>
      <c r="D6" s="28"/>
      <c r="F6" s="20"/>
      <c r="G6" s="31">
        <f>Assumptions!C17</f>
        <v>100</v>
      </c>
      <c r="J6" s="20"/>
      <c r="K6" s="31">
        <f>Assumptions!C17</f>
        <v>100</v>
      </c>
      <c r="N6" s="18"/>
      <c r="O6" s="32"/>
      <c r="R6" s="20"/>
      <c r="S6" s="31">
        <f>Assumptions!C17</f>
        <v>100</v>
      </c>
      <c r="V6" s="20"/>
    </row>
    <row r="7" spans="1:22" x14ac:dyDescent="0.25">
      <c r="B7" t="s">
        <v>0</v>
      </c>
      <c r="C7" s="25"/>
      <c r="D7" s="28"/>
      <c r="F7" s="20"/>
      <c r="G7" s="32"/>
      <c r="J7" s="20"/>
      <c r="K7" s="32"/>
      <c r="N7" s="18"/>
      <c r="O7" s="32"/>
      <c r="R7" s="20"/>
      <c r="S7" s="31"/>
      <c r="V7" s="20"/>
    </row>
    <row r="8" spans="1:22" ht="15.75" thickBot="1" x14ac:dyDescent="0.3">
      <c r="B8" s="2" t="s">
        <v>2</v>
      </c>
      <c r="C8" s="26">
        <f>C4-C6</f>
        <v>200</v>
      </c>
      <c r="D8" s="29">
        <f>Assumptions!C4</f>
        <v>20</v>
      </c>
      <c r="E8" s="11">
        <f>Assumptions!C6</f>
        <v>0.25</v>
      </c>
      <c r="F8" s="21">
        <f>C8*D8*E8</f>
        <v>1000</v>
      </c>
      <c r="G8" s="33">
        <f>G4-G6</f>
        <v>200</v>
      </c>
      <c r="H8" s="14">
        <f>D8+D8*Assumptions!C5</f>
        <v>21</v>
      </c>
      <c r="I8" s="11">
        <f>E8</f>
        <v>0.25</v>
      </c>
      <c r="J8" s="21">
        <f>G8*H8*I8</f>
        <v>1050</v>
      </c>
      <c r="K8" s="33">
        <f>K4</f>
        <v>300</v>
      </c>
      <c r="L8" s="51">
        <f>H8+H8*Assumptions!C5</f>
        <v>22.05</v>
      </c>
      <c r="M8" s="15">
        <f>I8</f>
        <v>0.25</v>
      </c>
      <c r="N8" s="39">
        <f>K8*L8*M8</f>
        <v>1653.75</v>
      </c>
      <c r="O8" s="59">
        <f>O4</f>
        <v>300</v>
      </c>
      <c r="P8" s="60">
        <f>L8+L8*Assumptions!C5</f>
        <v>23.1525</v>
      </c>
      <c r="Q8" s="11">
        <f>M8</f>
        <v>0.25</v>
      </c>
      <c r="R8" s="21">
        <f>O8*P8*Q8</f>
        <v>1736.4375</v>
      </c>
      <c r="S8" s="59">
        <f t="shared" ref="S8:S14" si="0">O8</f>
        <v>300</v>
      </c>
      <c r="T8" s="60">
        <f>P8+P8*Assumptions!C5</f>
        <v>24.310124999999999</v>
      </c>
      <c r="U8" s="11">
        <f>Q8</f>
        <v>0.25</v>
      </c>
      <c r="V8" s="21">
        <f>S8*T8*U8</f>
        <v>1823.2593749999999</v>
      </c>
    </row>
    <row r="9" spans="1:22" ht="15.75" thickTop="1" x14ac:dyDescent="0.25">
      <c r="C9" s="19"/>
      <c r="D9" s="28"/>
      <c r="F9" s="21"/>
      <c r="G9" s="31"/>
      <c r="J9" s="21"/>
      <c r="K9" s="31"/>
      <c r="N9" s="39"/>
      <c r="O9" s="32"/>
      <c r="R9" s="21"/>
      <c r="S9" s="31"/>
      <c r="V9" s="21"/>
    </row>
    <row r="10" spans="1:22" x14ac:dyDescent="0.25">
      <c r="A10" t="s">
        <v>55</v>
      </c>
      <c r="B10" t="s">
        <v>13</v>
      </c>
      <c r="C10" s="24">
        <f>Assumptions!C15</f>
        <v>300</v>
      </c>
      <c r="D10" s="28"/>
      <c r="F10" s="21"/>
      <c r="G10" s="31">
        <f>C10</f>
        <v>300</v>
      </c>
      <c r="J10" s="21"/>
      <c r="K10" s="31">
        <f>C10</f>
        <v>300</v>
      </c>
      <c r="N10" s="39"/>
      <c r="O10" s="31">
        <f>K10</f>
        <v>300</v>
      </c>
      <c r="R10" s="21"/>
      <c r="S10" s="31">
        <f t="shared" si="0"/>
        <v>300</v>
      </c>
      <c r="V10" s="21"/>
    </row>
    <row r="11" spans="1:22" x14ac:dyDescent="0.25">
      <c r="B11" t="s">
        <v>51</v>
      </c>
      <c r="C11" s="25"/>
      <c r="D11" s="28"/>
      <c r="F11" s="21"/>
      <c r="G11" s="31"/>
      <c r="J11" s="21"/>
      <c r="K11" s="31"/>
      <c r="N11" s="39"/>
      <c r="O11" s="32"/>
      <c r="R11" s="21"/>
      <c r="S11" s="31"/>
      <c r="V11" s="21"/>
    </row>
    <row r="12" spans="1:22" x14ac:dyDescent="0.25">
      <c r="B12" t="s">
        <v>1</v>
      </c>
      <c r="C12" s="25">
        <f>Assumptions!C17</f>
        <v>100</v>
      </c>
      <c r="D12" s="28"/>
      <c r="F12" s="21"/>
      <c r="G12" s="31">
        <f>Assumptions!C17</f>
        <v>100</v>
      </c>
      <c r="J12" s="21"/>
      <c r="K12" s="31">
        <f>Assumptions!C17</f>
        <v>100</v>
      </c>
      <c r="N12" s="39"/>
      <c r="O12" s="32"/>
      <c r="R12" s="21"/>
      <c r="S12" s="31">
        <f>Assumptions!C17</f>
        <v>100</v>
      </c>
      <c r="V12" s="21"/>
    </row>
    <row r="13" spans="1:22" x14ac:dyDescent="0.25">
      <c r="B13" t="s">
        <v>0</v>
      </c>
      <c r="C13" s="25"/>
      <c r="D13" s="28"/>
      <c r="F13" s="21"/>
      <c r="G13" s="31"/>
      <c r="J13" s="21"/>
      <c r="K13" s="31"/>
      <c r="N13" s="39"/>
      <c r="O13" s="32"/>
      <c r="R13" s="21"/>
      <c r="S13" s="31"/>
      <c r="V13" s="21"/>
    </row>
    <row r="14" spans="1:22" ht="15.75" thickBot="1" x14ac:dyDescent="0.3">
      <c r="B14" s="2" t="s">
        <v>2</v>
      </c>
      <c r="C14" s="26">
        <f>C10-C12</f>
        <v>200</v>
      </c>
      <c r="D14" s="29">
        <f>Assumptions!C8</f>
        <v>20</v>
      </c>
      <c r="E14" s="11">
        <f>Assumptions!C10</f>
        <v>0.25</v>
      </c>
      <c r="F14" s="21">
        <f>C14*D14*E14</f>
        <v>1000</v>
      </c>
      <c r="G14" s="33">
        <f>G10-G12</f>
        <v>200</v>
      </c>
      <c r="H14" s="51">
        <f>D14+D14*Assumptions!C9</f>
        <v>21</v>
      </c>
      <c r="I14" s="11">
        <f>E14</f>
        <v>0.25</v>
      </c>
      <c r="J14" s="21">
        <f>G14*H14*I14</f>
        <v>1050</v>
      </c>
      <c r="K14" s="33">
        <f>K10</f>
        <v>300</v>
      </c>
      <c r="L14" s="51">
        <f>H14+H14*Assumptions!C9</f>
        <v>22.05</v>
      </c>
      <c r="M14" s="15">
        <f>I14</f>
        <v>0.25</v>
      </c>
      <c r="N14" s="39">
        <f>K14*L14*M14</f>
        <v>1653.75</v>
      </c>
      <c r="O14" s="59">
        <f>O10</f>
        <v>300</v>
      </c>
      <c r="P14" s="60">
        <f>L14+L14*Assumptions!C9</f>
        <v>23.1525</v>
      </c>
      <c r="Q14" s="11">
        <f>M14</f>
        <v>0.25</v>
      </c>
      <c r="R14" s="21">
        <f t="shared" ref="R14" si="1">O14*P14*Q14</f>
        <v>1736.4375</v>
      </c>
      <c r="S14" s="59">
        <f t="shared" si="0"/>
        <v>300</v>
      </c>
      <c r="T14" s="60">
        <f>P14+P14*Assumptions!C9</f>
        <v>24.310124999999999</v>
      </c>
      <c r="U14" s="11">
        <f>Q14</f>
        <v>0.25</v>
      </c>
      <c r="V14" s="21">
        <f t="shared" ref="V14:V20" si="2">S14*T14*U14</f>
        <v>1823.2593749999999</v>
      </c>
    </row>
    <row r="15" spans="1:22" ht="15.75" thickTop="1" x14ac:dyDescent="0.25">
      <c r="C15" s="19"/>
      <c r="D15" s="28"/>
      <c r="F15" s="21"/>
      <c r="G15" s="31"/>
      <c r="J15" s="21"/>
      <c r="K15" s="31"/>
      <c r="N15" s="39"/>
      <c r="O15" s="32"/>
      <c r="R15" s="20"/>
      <c r="S15" s="32"/>
      <c r="V15" s="21"/>
    </row>
    <row r="16" spans="1:22" x14ac:dyDescent="0.25">
      <c r="C16" s="19"/>
      <c r="D16" s="28"/>
      <c r="F16" s="21"/>
      <c r="G16" s="31"/>
      <c r="J16" s="21"/>
      <c r="K16" s="31"/>
      <c r="N16" s="39"/>
      <c r="O16" s="32"/>
      <c r="R16" s="20"/>
      <c r="S16" s="32"/>
      <c r="V16" s="21"/>
    </row>
    <row r="17" spans="1:22" x14ac:dyDescent="0.25">
      <c r="A17" t="s">
        <v>12</v>
      </c>
      <c r="B17" t="s">
        <v>51</v>
      </c>
      <c r="C17" s="25">
        <f>Assumptions!C16</f>
        <v>1095</v>
      </c>
      <c r="D17" s="28"/>
      <c r="F17" s="21"/>
      <c r="G17" s="31">
        <f>C17</f>
        <v>1095</v>
      </c>
      <c r="J17" s="21"/>
      <c r="K17" s="31">
        <f>G17</f>
        <v>1095</v>
      </c>
      <c r="N17" s="39"/>
      <c r="O17" s="31">
        <f>K17</f>
        <v>1095</v>
      </c>
      <c r="R17" s="20"/>
      <c r="S17" s="31">
        <f>O17</f>
        <v>1095</v>
      </c>
      <c r="V17" s="21"/>
    </row>
    <row r="18" spans="1:22" x14ac:dyDescent="0.25">
      <c r="B18" t="s">
        <v>1</v>
      </c>
      <c r="C18" s="25">
        <f>Assumptions!C17</f>
        <v>100</v>
      </c>
      <c r="D18" s="28"/>
      <c r="F18" s="21"/>
      <c r="G18" s="31">
        <f t="shared" ref="G18:G20" si="3">C18</f>
        <v>100</v>
      </c>
      <c r="J18" s="21"/>
      <c r="K18" s="31">
        <f t="shared" ref="K18:K20" si="4">G18</f>
        <v>100</v>
      </c>
      <c r="N18" s="39"/>
      <c r="O18" s="31">
        <f t="shared" ref="O18:O20" si="5">K18</f>
        <v>100</v>
      </c>
      <c r="R18" s="20"/>
      <c r="S18" s="31">
        <f>O18</f>
        <v>100</v>
      </c>
      <c r="V18" s="21"/>
    </row>
    <row r="19" spans="1:22" x14ac:dyDescent="0.25">
      <c r="B19" t="s">
        <v>0</v>
      </c>
      <c r="C19" s="25">
        <f>Assumptions!C19</f>
        <v>325</v>
      </c>
      <c r="D19" s="28"/>
      <c r="F19" s="21"/>
      <c r="G19" s="31">
        <f t="shared" si="3"/>
        <v>325</v>
      </c>
      <c r="J19" s="21"/>
      <c r="K19" s="31">
        <f t="shared" si="4"/>
        <v>325</v>
      </c>
      <c r="N19" s="39"/>
      <c r="O19" s="31">
        <f t="shared" si="5"/>
        <v>325</v>
      </c>
      <c r="R19" s="20"/>
      <c r="S19" s="59">
        <f>O19</f>
        <v>325</v>
      </c>
      <c r="V19" s="21"/>
    </row>
    <row r="20" spans="1:22" ht="15.75" thickBot="1" x14ac:dyDescent="0.3">
      <c r="B20" s="2" t="s">
        <v>2</v>
      </c>
      <c r="C20" s="27">
        <f>C17-C18-C19</f>
        <v>670</v>
      </c>
      <c r="D20" s="30">
        <f>Assumptions!C12</f>
        <v>20</v>
      </c>
      <c r="E20" s="22">
        <f>Assumptions!C13</f>
        <v>0.25</v>
      </c>
      <c r="F20" s="23">
        <f>C20*D20*E20</f>
        <v>3350</v>
      </c>
      <c r="G20" s="49">
        <f t="shared" si="3"/>
        <v>670</v>
      </c>
      <c r="H20" s="38">
        <f>D20-(D20*0.2)+D14+D8</f>
        <v>56</v>
      </c>
      <c r="I20" s="22">
        <f>E20</f>
        <v>0.25</v>
      </c>
      <c r="J20" s="23">
        <f>G20*H20*I20</f>
        <v>9380</v>
      </c>
      <c r="K20" s="49">
        <f t="shared" si="4"/>
        <v>670</v>
      </c>
      <c r="L20" s="52">
        <f>H20-(H20*0.2)+H14+H8</f>
        <v>86.8</v>
      </c>
      <c r="M20" s="40">
        <f>E20</f>
        <v>0.25</v>
      </c>
      <c r="N20" s="41">
        <f>K20*L20*M20</f>
        <v>14539</v>
      </c>
      <c r="O20" s="58">
        <f t="shared" si="5"/>
        <v>670</v>
      </c>
      <c r="P20" s="56">
        <f>L20-L20*0.2+L8+L14</f>
        <v>113.53999999999999</v>
      </c>
      <c r="Q20" s="22">
        <f>M20</f>
        <v>0.25</v>
      </c>
      <c r="R20" s="23">
        <f>O20*P20*Q20</f>
        <v>19017.949999999997</v>
      </c>
      <c r="S20" s="37">
        <f>O20</f>
        <v>670</v>
      </c>
      <c r="T20" s="56">
        <f>P20-P20*0.2+P8+P14</f>
        <v>137.137</v>
      </c>
      <c r="U20" s="22">
        <f>Q20</f>
        <v>0.25</v>
      </c>
      <c r="V20" s="23">
        <f t="shared" si="2"/>
        <v>22970.447499999998</v>
      </c>
    </row>
    <row r="21" spans="1:22" ht="16.5" thickTop="1" thickBot="1" x14ac:dyDescent="0.3">
      <c r="A21" t="s">
        <v>3</v>
      </c>
      <c r="E21" s="4" t="s">
        <v>16</v>
      </c>
      <c r="F21" s="54">
        <f>SUM(F8:F20)</f>
        <v>5350</v>
      </c>
      <c r="G21" s="10"/>
      <c r="I21" s="4" t="s">
        <v>16</v>
      </c>
      <c r="J21" s="42">
        <f>SUM(J8:J20)</f>
        <v>11480</v>
      </c>
      <c r="K21" s="5"/>
      <c r="M21" s="4" t="s">
        <v>16</v>
      </c>
      <c r="N21" s="54">
        <f>SUM(N8:N20)</f>
        <v>17846.5</v>
      </c>
      <c r="Q21" s="4" t="s">
        <v>16</v>
      </c>
      <c r="R21" s="42">
        <f>SUM(R8:R20)</f>
        <v>22490.824999999997</v>
      </c>
      <c r="U21" s="4" t="s">
        <v>16</v>
      </c>
      <c r="V21" s="42">
        <f>SUM(V8:V20)</f>
        <v>26616.966249999998</v>
      </c>
    </row>
    <row r="22" spans="1:22" ht="15.75" thickTop="1" x14ac:dyDescent="0.25">
      <c r="F22" s="5"/>
      <c r="G22" s="5"/>
    </row>
    <row r="23" spans="1:22" x14ac:dyDescent="0.25">
      <c r="C23" t="s">
        <v>28</v>
      </c>
      <c r="E23" s="9">
        <f>D8*E8+D14*E14+D20*E20</f>
        <v>15</v>
      </c>
      <c r="H23"/>
      <c r="I23" s="9">
        <f t="shared" ref="I23:U23" si="6">H8*I8+H14*I14+H20*I20</f>
        <v>24.5</v>
      </c>
      <c r="J23" s="9"/>
      <c r="K23" s="9"/>
      <c r="L23" s="9"/>
      <c r="M23" s="9">
        <f t="shared" si="6"/>
        <v>32.725000000000001</v>
      </c>
      <c r="N23" s="9"/>
      <c r="O23" s="9"/>
      <c r="P23" s="9"/>
      <c r="Q23" s="9">
        <f t="shared" si="6"/>
        <v>39.96125</v>
      </c>
      <c r="R23" s="9"/>
      <c r="S23" s="9"/>
      <c r="T23" s="9"/>
      <c r="U23" s="9">
        <f t="shared" si="6"/>
        <v>46.4393125</v>
      </c>
    </row>
    <row r="24" spans="1:22" x14ac:dyDescent="0.25">
      <c r="C24" s="6"/>
      <c r="D24" s="3"/>
      <c r="E24" s="7"/>
      <c r="F24" s="7"/>
      <c r="G24" s="7"/>
      <c r="H24" s="12"/>
      <c r="L24" s="10"/>
      <c r="M24" s="10"/>
    </row>
    <row r="25" spans="1:22" x14ac:dyDescent="0.25">
      <c r="C25" s="4"/>
      <c r="D25" s="4"/>
      <c r="F25" s="8"/>
      <c r="G25" s="8"/>
      <c r="H25" s="12"/>
      <c r="L25" s="10"/>
      <c r="M25" s="10"/>
    </row>
    <row r="26" spans="1:22" x14ac:dyDescent="0.25">
      <c r="B26" s="1"/>
      <c r="D26" s="3"/>
      <c r="E26" s="5"/>
      <c r="F26" s="8"/>
      <c r="G26" s="8"/>
      <c r="H26" s="12"/>
      <c r="L26" s="10"/>
      <c r="M26" s="10"/>
    </row>
    <row r="27" spans="1:22" x14ac:dyDescent="0.25">
      <c r="B27" s="1"/>
      <c r="D27" s="3"/>
      <c r="E27" s="5"/>
      <c r="F27" s="6"/>
      <c r="G27" s="6"/>
      <c r="L27" s="10"/>
      <c r="M27" s="10"/>
    </row>
    <row r="28" spans="1:22" x14ac:dyDescent="0.25">
      <c r="B28" s="1"/>
      <c r="D28" s="3"/>
      <c r="E28" s="5"/>
    </row>
    <row r="29" spans="1:22" x14ac:dyDescent="0.25">
      <c r="B29" s="5"/>
      <c r="E29" s="53"/>
      <c r="F29" s="5"/>
      <c r="G29" s="5"/>
    </row>
    <row r="30" spans="1:22" x14ac:dyDescent="0.25">
      <c r="C30" s="9"/>
    </row>
    <row r="31" spans="1:22" x14ac:dyDescent="0.25">
      <c r="E31" s="4"/>
      <c r="F31" s="5"/>
      <c r="G31" s="5"/>
      <c r="I31" s="4"/>
      <c r="J31" s="5"/>
      <c r="K31" s="5"/>
      <c r="N31" s="10"/>
    </row>
    <row r="33" spans="5:5" x14ac:dyDescent="0.25">
      <c r="E33" s="5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Initial Investment</vt:lpstr>
      <vt:lpstr>Distributor Cash flow</vt:lpstr>
      <vt:lpstr>Full ROI Calculation</vt:lpstr>
    </vt:vector>
  </TitlesOfParts>
  <Company>Contex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</dc:creator>
  <cp:lastModifiedBy>Charlotte Stampe</cp:lastModifiedBy>
  <dcterms:created xsi:type="dcterms:W3CDTF">2009-05-19T17:32:42Z</dcterms:created>
  <dcterms:modified xsi:type="dcterms:W3CDTF">2024-07-31T12:21:34Z</dcterms:modified>
</cp:coreProperties>
</file>