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35" windowHeight="7875"/>
  </bookViews>
  <sheets>
    <sheet name="Assumptions" sheetId="3" r:id="rId1"/>
    <sheet name="Initial Investment" sheetId="4" r:id="rId2"/>
    <sheet name="Distributor Cash flow" sheetId="6" r:id="rId3"/>
    <sheet name="Full ROI Calculation" sheetId="2" r:id="rId4"/>
    <sheet name="Sheet1" sheetId="7" r:id="rId5"/>
  </sheets>
  <calcPr calcId="125725"/>
</workbook>
</file>

<file path=xl/calcChain.xml><?xml version="1.0" encoding="utf-8"?>
<calcChain xmlns="http://schemas.openxmlformats.org/spreadsheetml/2006/main">
  <c r="S12" i="2"/>
  <c r="S6"/>
  <c r="K12"/>
  <c r="K6"/>
  <c r="G12"/>
  <c r="G6"/>
  <c r="C12"/>
  <c r="C6"/>
  <c r="C9" i="4"/>
  <c r="E14"/>
  <c r="E15"/>
  <c r="E16"/>
  <c r="E13"/>
  <c r="F13" s="1"/>
  <c r="E14" i="2"/>
  <c r="C19"/>
  <c r="G19" s="1"/>
  <c r="K19" s="1"/>
  <c r="O19" s="1"/>
  <c r="S19" s="1"/>
  <c r="C17"/>
  <c r="C18"/>
  <c r="C10"/>
  <c r="G10" s="1"/>
  <c r="G14" s="1"/>
  <c r="C4"/>
  <c r="C8" s="1"/>
  <c r="E20"/>
  <c r="I20" s="1"/>
  <c r="E8"/>
  <c r="F8" i="4"/>
  <c r="F7"/>
  <c r="F6"/>
  <c r="D20" i="2"/>
  <c r="D14"/>
  <c r="H14" s="1"/>
  <c r="L14" s="1"/>
  <c r="P14" s="1"/>
  <c r="D8"/>
  <c r="K10"/>
  <c r="K14" s="1"/>
  <c r="G18"/>
  <c r="K18" s="1"/>
  <c r="O18" s="1"/>
  <c r="S18" s="1"/>
  <c r="C14"/>
  <c r="F14" i="4" l="1"/>
  <c r="F15" s="1"/>
  <c r="E23" i="2"/>
  <c r="F12" i="4"/>
  <c r="D4" i="6" s="1"/>
  <c r="I14" i="2"/>
  <c r="M14" s="1"/>
  <c r="Q14" s="1"/>
  <c r="U14" s="1"/>
  <c r="C20"/>
  <c r="G20" s="1"/>
  <c r="K20" s="1"/>
  <c r="O20" s="1"/>
  <c r="S20" s="1"/>
  <c r="G17"/>
  <c r="K17" s="1"/>
  <c r="O17" s="1"/>
  <c r="S17" s="1"/>
  <c r="G4"/>
  <c r="G8" s="1"/>
  <c r="K4"/>
  <c r="K8" s="1"/>
  <c r="O10"/>
  <c r="S10" s="1"/>
  <c r="O4"/>
  <c r="I8"/>
  <c r="M8" s="1"/>
  <c r="Q8" s="1"/>
  <c r="U8" s="1"/>
  <c r="T14"/>
  <c r="M20"/>
  <c r="Q20" s="1"/>
  <c r="U20" s="1"/>
  <c r="F14"/>
  <c r="H20"/>
  <c r="J14"/>
  <c r="H8"/>
  <c r="F8"/>
  <c r="N14" l="1"/>
  <c r="F16" i="4"/>
  <c r="F20" i="2"/>
  <c r="L8"/>
  <c r="P8" s="1"/>
  <c r="I23"/>
  <c r="D5" i="6"/>
  <c r="O14" i="2"/>
  <c r="O8"/>
  <c r="S8" s="1"/>
  <c r="S4"/>
  <c r="N8"/>
  <c r="L20"/>
  <c r="F21"/>
  <c r="C4" i="6" s="1"/>
  <c r="E4" s="1"/>
  <c r="C22" i="3" s="1"/>
  <c r="J20" i="2"/>
  <c r="J8"/>
  <c r="D6" i="6" l="1"/>
  <c r="M23" i="2"/>
  <c r="J21"/>
  <c r="C5" i="6" s="1"/>
  <c r="E5" s="1"/>
  <c r="C23" i="3" s="1"/>
  <c r="S14" i="2"/>
  <c r="V14" s="1"/>
  <c r="R14"/>
  <c r="T8"/>
  <c r="R8"/>
  <c r="N20"/>
  <c r="N21" s="1"/>
  <c r="C6" i="6" s="1"/>
  <c r="P20" i="2"/>
  <c r="E6" i="6" l="1"/>
  <c r="C24" i="3" s="1"/>
  <c r="D7" i="6"/>
  <c r="V8" i="2"/>
  <c r="Q23"/>
  <c r="T20"/>
  <c r="U23" s="1"/>
  <c r="R20"/>
  <c r="R21" s="1"/>
  <c r="C7" i="6" s="1"/>
  <c r="E7" l="1"/>
  <c r="C25" i="3" s="1"/>
  <c r="D8" i="6"/>
  <c r="V20" i="2"/>
  <c r="V21" s="1"/>
  <c r="C8" i="6" s="1"/>
  <c r="E8" l="1"/>
  <c r="C26" i="3" s="1"/>
</calcChain>
</file>

<file path=xl/comments1.xml><?xml version="1.0" encoding="utf-8"?>
<comments xmlns="http://schemas.openxmlformats.org/spreadsheetml/2006/main">
  <authors>
    <author>mni</author>
  </authors>
  <commentList>
    <comment ref="C4" authorId="0">
      <text>
        <r>
          <rPr>
            <sz val="8"/>
            <color indexed="81"/>
            <rFont val="Tahoma"/>
            <family val="2"/>
          </rPr>
          <t>Enter estimated number of HD scanners sold pr year.</t>
        </r>
      </text>
    </comment>
    <comment ref="C5" authorId="0">
      <text>
        <r>
          <rPr>
            <sz val="8"/>
            <color indexed="81"/>
            <rFont val="Tahoma"/>
            <family val="2"/>
          </rPr>
          <t>Enter estimated growth of scanner sales each year.</t>
        </r>
      </text>
    </comment>
    <comment ref="C6" authorId="0">
      <text>
        <r>
          <rPr>
            <sz val="8"/>
            <color indexed="81"/>
            <rFont val="Tahoma"/>
            <family val="2"/>
          </rPr>
          <t>Enter estimated attachment rate (percentage of scanner sales where you attach a contract).</t>
        </r>
      </text>
    </comment>
    <comment ref="C8" authorId="0">
      <text>
        <r>
          <rPr>
            <sz val="8"/>
            <color indexed="81"/>
            <rFont val="Tahoma"/>
            <family val="2"/>
          </rPr>
          <t>Enter estimated number of SD scanners sold pr year.</t>
        </r>
      </text>
    </comment>
    <comment ref="C9" authorId="0">
      <text>
        <r>
          <rPr>
            <sz val="8"/>
            <color indexed="81"/>
            <rFont val="Tahoma"/>
            <family val="2"/>
          </rPr>
          <t>Enter estimated growth of scanner sales each year.</t>
        </r>
      </text>
    </comment>
    <comment ref="C10" authorId="0">
      <text>
        <r>
          <rPr>
            <sz val="8"/>
            <color indexed="81"/>
            <rFont val="Tahoma"/>
            <family val="2"/>
          </rPr>
          <t>Enter estimated attachment rate (percentage of scanner sales where you attach a contract).</t>
        </r>
      </text>
    </comment>
    <comment ref="C12" authorId="0">
      <text>
        <r>
          <rPr>
            <sz val="8"/>
            <color indexed="81"/>
            <rFont val="Tahoma"/>
            <family val="2"/>
          </rPr>
          <t>Enter estimated number of scanners that are still under factory warranty.</t>
        </r>
      </text>
    </comment>
    <comment ref="C13" authorId="0">
      <text>
        <r>
          <rPr>
            <sz val="8"/>
            <color indexed="81"/>
            <rFont val="Tahoma"/>
            <family val="2"/>
          </rPr>
          <t>Enter estimated attachment rate (percentage of scanner sales where you attach a contract).</t>
        </r>
      </text>
    </comment>
    <comment ref="C15" authorId="0">
      <text>
        <r>
          <rPr>
            <sz val="8"/>
            <color indexed="81"/>
            <rFont val="Tahoma"/>
            <family val="2"/>
          </rPr>
          <t>Enter price for onsite contract for scanner covered under warranty.</t>
        </r>
      </text>
    </comment>
    <comment ref="C16" authorId="0">
      <text>
        <r>
          <rPr>
            <sz val="8"/>
            <color indexed="81"/>
            <rFont val="Tahoma"/>
            <family val="2"/>
          </rPr>
          <t>Enter price for onsite contract for scanner not covered under warranty.</t>
        </r>
      </text>
    </comment>
    <comment ref="C17" authorId="0">
      <text>
        <r>
          <rPr>
            <sz val="8"/>
            <color indexed="81"/>
            <rFont val="Tahoma"/>
            <family val="2"/>
          </rPr>
          <t>Enter dealer kick back amount.</t>
        </r>
      </text>
    </comment>
    <comment ref="C19" authorId="0">
      <text>
        <r>
          <rPr>
            <sz val="8"/>
            <color indexed="81"/>
            <rFont val="Tahoma"/>
            <family val="2"/>
          </rPr>
          <t>Price in USD for One Year Service Contract from Contex. Using 3 year contracts will give a quicker return on investment. This calculator does not adjust for that.</t>
        </r>
      </text>
    </comment>
  </commentList>
</comments>
</file>

<file path=xl/comments2.xml><?xml version="1.0" encoding="utf-8"?>
<comments xmlns="http://schemas.openxmlformats.org/spreadsheetml/2006/main">
  <authors>
    <author>mni</author>
  </authors>
  <commentList>
    <comment ref="C6" authorId="0">
      <text>
        <r>
          <rPr>
            <sz val="8"/>
            <color indexed="81"/>
            <rFont val="Tahoma"/>
            <family val="2"/>
          </rPr>
          <t>Enter price of spare parts package for HD in USD.</t>
        </r>
      </text>
    </comment>
    <comment ref="D6" authorId="0">
      <text>
        <r>
          <rPr>
            <sz val="8"/>
            <color indexed="81"/>
            <rFont val="Tahoma"/>
            <family val="2"/>
          </rPr>
          <t>Set to "0" if you already have spare parts stock.</t>
        </r>
      </text>
    </comment>
    <comment ref="E6" authorId="0">
      <text>
        <r>
          <rPr>
            <sz val="8"/>
            <color indexed="81"/>
            <rFont val="Tahoma"/>
            <family val="2"/>
          </rPr>
          <t>Enter discount</t>
        </r>
      </text>
    </comment>
    <comment ref="C7" authorId="0">
      <text>
        <r>
          <rPr>
            <sz val="8"/>
            <color indexed="81"/>
            <rFont val="Tahoma"/>
            <family val="2"/>
          </rPr>
          <t>Enter price of spare parts package for SD in USD.</t>
        </r>
      </text>
    </comment>
    <comment ref="D7" authorId="0">
      <text>
        <r>
          <rPr>
            <sz val="8"/>
            <color indexed="81"/>
            <rFont val="Tahoma"/>
            <family val="2"/>
          </rPr>
          <t>Set to "0" if you already have spare parts stock.</t>
        </r>
      </text>
    </comment>
    <comment ref="E7" authorId="0">
      <text>
        <r>
          <rPr>
            <sz val="8"/>
            <color indexed="81"/>
            <rFont val="Tahoma"/>
            <family val="2"/>
          </rPr>
          <t>Enter discount</t>
        </r>
      </text>
    </comment>
    <comment ref="C8" authorId="0">
      <text>
        <r>
          <rPr>
            <sz val="8"/>
            <color indexed="81"/>
            <rFont val="Tahoma"/>
            <family val="2"/>
          </rPr>
          <t>Enter price of spare parts package for G600 / 600e in USD.</t>
        </r>
      </text>
    </comment>
    <comment ref="D8" authorId="0">
      <text>
        <r>
          <rPr>
            <sz val="8"/>
            <color indexed="81"/>
            <rFont val="Tahoma"/>
            <family val="2"/>
          </rPr>
          <t>Set to "0" if you already have spare parts stock.</t>
        </r>
      </text>
    </comment>
    <comment ref="E8" authorId="0">
      <text>
        <r>
          <rPr>
            <sz val="8"/>
            <color indexed="81"/>
            <rFont val="Tahoma"/>
            <family val="2"/>
          </rPr>
          <t>Enter discount</t>
        </r>
      </text>
    </comment>
  </commentList>
</comments>
</file>

<file path=xl/sharedStrings.xml><?xml version="1.0" encoding="utf-8"?>
<sst xmlns="http://schemas.openxmlformats.org/spreadsheetml/2006/main" count="108" uniqueCount="61">
  <si>
    <t>Price from Contex</t>
  </si>
  <si>
    <t>Dealer margin</t>
  </si>
  <si>
    <t>HD</t>
  </si>
  <si>
    <t>SD</t>
  </si>
  <si>
    <t>Margin to Distributor</t>
  </si>
  <si>
    <t>Discount</t>
  </si>
  <si>
    <t>Total</t>
  </si>
  <si>
    <t>Unit Sales / Install Base</t>
  </si>
  <si>
    <t>Price</t>
  </si>
  <si>
    <t>Qty</t>
  </si>
  <si>
    <t>Revenue</t>
  </si>
  <si>
    <t>Year 1</t>
  </si>
  <si>
    <t>Year 2</t>
  </si>
  <si>
    <t>Year 3</t>
  </si>
  <si>
    <t>Year 4</t>
  </si>
  <si>
    <t>Year 5</t>
  </si>
  <si>
    <t>Install Base</t>
  </si>
  <si>
    <t>List Price on-site conversion</t>
  </si>
  <si>
    <t>Package HD</t>
  </si>
  <si>
    <t>Package SD</t>
  </si>
  <si>
    <t>Investment</t>
  </si>
  <si>
    <t>Install Base still under factory warranty</t>
  </si>
  <si>
    <t>Income</t>
  </si>
  <si>
    <t>On-site warranty conversion</t>
  </si>
  <si>
    <t>3 year on-site warranty</t>
  </si>
  <si>
    <t>Spare Parts warranty contract</t>
  </si>
  <si>
    <t>Dealer kick back</t>
  </si>
  <si>
    <t>HD sales pr. Year (Units)</t>
  </si>
  <si>
    <t>SD sales pr. Year (Units)</t>
  </si>
  <si>
    <t>Year</t>
  </si>
  <si>
    <t>Assumptions</t>
  </si>
  <si>
    <t>Attachment Rate for new sales</t>
  </si>
  <si>
    <t>Yearly Growth</t>
  </si>
  <si>
    <t>Attachment Rate for install base</t>
  </si>
  <si>
    <t>Growth</t>
  </si>
  <si>
    <t>Investment pr year</t>
  </si>
  <si>
    <t>Scanners under contract</t>
  </si>
  <si>
    <t>Investment in spare parts stock</t>
  </si>
  <si>
    <t>Package G600 / 600e</t>
  </si>
  <si>
    <t>Margin</t>
  </si>
  <si>
    <t>Cash Flow Summary</t>
  </si>
  <si>
    <t xml:space="preserve">Fill in the red cells. </t>
  </si>
  <si>
    <t>How to use</t>
  </si>
  <si>
    <t>Fill in the red cells on the 2 first worksheets.</t>
  </si>
  <si>
    <t>Initial Investment</t>
  </si>
  <si>
    <t>Full ROI Calculator</t>
  </si>
  <si>
    <t>Input of investment in spare parts stock</t>
  </si>
  <si>
    <t>Full details of the ROI calculation</t>
  </si>
  <si>
    <t>Note</t>
  </si>
  <si>
    <t>Input of expected scanner sales and size of install base</t>
  </si>
  <si>
    <t>Review of resulting cash flow</t>
  </si>
  <si>
    <t>Return after year 1</t>
  </si>
  <si>
    <t>Return after year 2</t>
  </si>
  <si>
    <t>Return after year 3</t>
  </si>
  <si>
    <t>Return after year 4</t>
  </si>
  <si>
    <t>Return after year 5</t>
  </si>
  <si>
    <t>Cumulated Cash flow</t>
  </si>
  <si>
    <t>Calculator assumes worst case. This means that it assumes only 1 year contracts are sold. Profits are higher if 3 year contracts are sold. This also has a positive impact on cash flow</t>
  </si>
  <si>
    <t>Conversion Percentage</t>
  </si>
  <si>
    <t>Distributor Cash flow</t>
  </si>
  <si>
    <t>List price on-site contract 1 year (End Customer)</t>
  </si>
</sst>
</file>

<file path=xl/styles.xml><?xml version="1.0" encoding="utf-8"?>
<styleSheet xmlns="http://schemas.openxmlformats.org/spreadsheetml/2006/main">
  <numFmts count="4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-[$$-409]* #,##0_ ;_-[$$-409]* \-#,##0\ ;_-[$$-409]* &quot;-&quot;??_ ;_-@_ "/>
    <numFmt numFmtId="165" formatCode="_ * #,##0_ ;_ * \-#,##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29" applyNumberFormat="0" applyAlignment="0" applyProtection="0"/>
  </cellStyleXfs>
  <cellXfs count="88">
    <xf numFmtId="0" fontId="0" fillId="0" borderId="0" xfId="0"/>
    <xf numFmtId="164" fontId="0" fillId="0" borderId="0" xfId="2" applyNumberFormat="1" applyFont="1"/>
    <xf numFmtId="0" fontId="0" fillId="0" borderId="1" xfId="0" applyBorder="1"/>
    <xf numFmtId="9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2" applyNumberFormat="1" applyFont="1" applyBorder="1"/>
    <xf numFmtId="9" fontId="0" fillId="0" borderId="0" xfId="0" applyNumberFormat="1" applyBorder="1"/>
    <xf numFmtId="165" fontId="0" fillId="0" borderId="0" xfId="1" applyNumberFormat="1" applyFont="1" applyBorder="1"/>
    <xf numFmtId="165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Border="1" applyAlignment="1">
      <alignment horizontal="right"/>
    </xf>
    <xf numFmtId="9" fontId="0" fillId="0" borderId="2" xfId="0" applyNumberFormat="1" applyBorder="1"/>
    <xf numFmtId="164" fontId="0" fillId="0" borderId="0" xfId="2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9" fontId="0" fillId="0" borderId="2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right"/>
    </xf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9" fontId="0" fillId="0" borderId="9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164" fontId="0" fillId="0" borderId="7" xfId="2" applyNumberFormat="1" applyFont="1" applyBorder="1"/>
    <xf numFmtId="164" fontId="0" fillId="0" borderId="14" xfId="2" applyNumberFormat="1" applyFont="1" applyBorder="1"/>
    <xf numFmtId="164" fontId="0" fillId="0" borderId="15" xfId="2" applyNumberFormat="1" applyFont="1" applyBorder="1"/>
    <xf numFmtId="0" fontId="0" fillId="0" borderId="3" xfId="0" applyBorder="1"/>
    <xf numFmtId="0" fontId="0" fillId="0" borderId="4" xfId="0" applyBorder="1"/>
    <xf numFmtId="0" fontId="0" fillId="0" borderId="16" xfId="0" applyBorder="1"/>
    <xf numFmtId="164" fontId="0" fillId="0" borderId="18" xfId="0" applyNumberFormat="1" applyBorder="1"/>
    <xf numFmtId="0" fontId="0" fillId="0" borderId="18" xfId="0" applyBorder="1"/>
    <xf numFmtId="164" fontId="0" fillId="0" borderId="19" xfId="0" applyNumberFormat="1" applyBorder="1"/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20" xfId="0" applyNumberFormat="1" applyBorder="1"/>
    <xf numFmtId="0" fontId="0" fillId="0" borderId="9" xfId="0" applyBorder="1" applyAlignment="1">
      <alignment horizontal="right"/>
    </xf>
    <xf numFmtId="164" fontId="0" fillId="0" borderId="8" xfId="0" applyNumberFormat="1" applyBorder="1" applyAlignment="1">
      <alignment horizontal="right"/>
    </xf>
    <xf numFmtId="9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22" xfId="0" applyNumberFormat="1" applyBorder="1"/>
    <xf numFmtId="0" fontId="0" fillId="0" borderId="24" xfId="0" applyBorder="1"/>
    <xf numFmtId="0" fontId="0" fillId="0" borderId="23" xfId="0" applyBorder="1" applyAlignment="1">
      <alignment horizontal="right" wrapText="1"/>
    </xf>
    <xf numFmtId="0" fontId="0" fillId="0" borderId="21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horizontal="right" wrapText="1"/>
    </xf>
    <xf numFmtId="164" fontId="0" fillId="0" borderId="27" xfId="2" applyNumberFormat="1" applyFont="1" applyBorder="1"/>
    <xf numFmtId="0" fontId="0" fillId="0" borderId="26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164" fontId="0" fillId="0" borderId="0" xfId="0" applyNumberFormat="1" applyFont="1"/>
    <xf numFmtId="1" fontId="0" fillId="0" borderId="9" xfId="0" applyNumberFormat="1" applyBorder="1" applyAlignment="1">
      <alignment horizontal="right"/>
    </xf>
    <xf numFmtId="164" fontId="2" fillId="0" borderId="0" xfId="0" applyNumberFormat="1" applyFont="1" applyBorder="1"/>
    <xf numFmtId="164" fontId="0" fillId="0" borderId="22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1" fontId="0" fillId="0" borderId="9" xfId="0" applyNumberFormat="1" applyBorder="1"/>
    <xf numFmtId="164" fontId="0" fillId="0" borderId="17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" fontId="0" fillId="0" borderId="2" xfId="0" applyNumberFormat="1" applyBorder="1"/>
    <xf numFmtId="0" fontId="3" fillId="0" borderId="0" xfId="0" applyFont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4" fillId="0" borderId="0" xfId="0" applyFont="1"/>
    <xf numFmtId="164" fontId="0" fillId="0" borderId="0" xfId="0" applyNumberFormat="1" applyFont="1" applyBorder="1"/>
    <xf numFmtId="0" fontId="0" fillId="0" borderId="0" xfId="0" applyFont="1"/>
    <xf numFmtId="1" fontId="0" fillId="0" borderId="0" xfId="0" applyNumberFormat="1"/>
    <xf numFmtId="0" fontId="6" fillId="3" borderId="29" xfId="4" applyProtection="1">
      <protection locked="0"/>
    </xf>
    <xf numFmtId="9" fontId="6" fillId="3" borderId="29" xfId="4" applyNumberFormat="1" applyProtection="1">
      <protection locked="0"/>
    </xf>
    <xf numFmtId="164" fontId="6" fillId="3" borderId="29" xfId="4" applyNumberFormat="1" applyProtection="1">
      <protection locked="0"/>
    </xf>
    <xf numFmtId="0" fontId="2" fillId="0" borderId="0" xfId="0" applyFont="1"/>
    <xf numFmtId="0" fontId="5" fillId="2" borderId="0" xfId="3"/>
    <xf numFmtId="164" fontId="5" fillId="2" borderId="0" xfId="3" applyNumberFormat="1" applyBorder="1"/>
    <xf numFmtId="164" fontId="7" fillId="0" borderId="0" xfId="0" applyNumberFormat="1" applyFont="1" applyProtection="1">
      <protection hidden="1"/>
    </xf>
    <xf numFmtId="0" fontId="2" fillId="0" borderId="0" xfId="0" applyFont="1" applyBorder="1"/>
    <xf numFmtId="0" fontId="5" fillId="2" borderId="0" xfId="3" applyAlignment="1">
      <alignment horizontal="left" vertical="top" wrapText="1"/>
    </xf>
    <xf numFmtId="0" fontId="9" fillId="2" borderId="0" xfId="3" applyFont="1" applyAlignment="1">
      <alignment horizontal="left"/>
    </xf>
  </cellXfs>
  <cellStyles count="5">
    <cellStyle name="Comma" xfId="1" builtinId="3"/>
    <cellStyle name="Currency" xfId="2" builtinId="4"/>
    <cellStyle name="Good" xfId="3" builtinId="26"/>
    <cellStyle name="Input" xfId="4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Cumulated Cash flow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'Distributor Cash flow'!$E$3</c:f>
              <c:strCache>
                <c:ptCount val="1"/>
                <c:pt idx="0">
                  <c:v>Cumulated Cash flow</c:v>
                </c:pt>
              </c:strCache>
            </c:strRef>
          </c:tx>
          <c:marker>
            <c:symbol val="none"/>
          </c:marker>
          <c:val>
            <c:numRef>
              <c:f>'Distributor Cash flow'!$E$4:$E$8</c:f>
              <c:numCache>
                <c:formatCode>_-[$$-409]* #,##0_ ;_-[$$-409]* \-#,##0\ ;_-[$$-409]* "-"??_ ;_-@_ </c:formatCode>
                <c:ptCount val="5"/>
                <c:pt idx="0">
                  <c:v>-18881.600000000002</c:v>
                </c:pt>
                <c:pt idx="1">
                  <c:v>-8747.8000000000029</c:v>
                </c:pt>
                <c:pt idx="2">
                  <c:v>7685.1899999999951</c:v>
                </c:pt>
                <c:pt idx="3">
                  <c:v>28691.829499999993</c:v>
                </c:pt>
                <c:pt idx="4">
                  <c:v>53750.40097499999</c:v>
                </c:pt>
              </c:numCache>
            </c:numRef>
          </c:val>
        </c:ser>
        <c:marker val="1"/>
        <c:axId val="67206144"/>
        <c:axId val="78930688"/>
      </c:lineChart>
      <c:catAx>
        <c:axId val="67206144"/>
        <c:scaling>
          <c:orientation val="minMax"/>
        </c:scaling>
        <c:axPos val="b"/>
        <c:tickLblPos val="nextTo"/>
        <c:crossAx val="78930688"/>
        <c:crosses val="autoZero"/>
        <c:auto val="1"/>
        <c:lblAlgn val="ctr"/>
        <c:lblOffset val="100"/>
      </c:catAx>
      <c:valAx>
        <c:axId val="78930688"/>
        <c:scaling>
          <c:orientation val="minMax"/>
        </c:scaling>
        <c:axPos val="l"/>
        <c:majorGridlines/>
        <c:numFmt formatCode="_-[$$-409]* #,##0_ ;_-[$$-409]* \-#,##0\ ;_-[$$-409]* &quot;-&quot;??_ ;_-@_ " sourceLinked="1"/>
        <c:tickLblPos val="nextTo"/>
        <c:crossAx val="6720614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'Distributor Cash flow'!$C$3</c:f>
              <c:strCache>
                <c:ptCount val="1"/>
                <c:pt idx="0">
                  <c:v>Margin</c:v>
                </c:pt>
              </c:strCache>
            </c:strRef>
          </c:tx>
          <c:val>
            <c:numRef>
              <c:f>'Distributor Cash flow'!$C$4:$C$8</c:f>
              <c:numCache>
                <c:formatCode>_-[$$-409]* #,##0_ ;_-[$$-409]* \-#,##0\ ;_-[$$-409]* "-"??_ ;_-@_ </c:formatCode>
                <c:ptCount val="5"/>
                <c:pt idx="0">
                  <c:v>5350</c:v>
                </c:pt>
                <c:pt idx="1">
                  <c:v>11480</c:v>
                </c:pt>
                <c:pt idx="2">
                  <c:v>17846.5</c:v>
                </c:pt>
                <c:pt idx="3">
                  <c:v>22490.824999999997</c:v>
                </c:pt>
                <c:pt idx="4">
                  <c:v>26616.966249999998</c:v>
                </c:pt>
              </c:numCache>
            </c:numRef>
          </c:val>
        </c:ser>
        <c:ser>
          <c:idx val="1"/>
          <c:order val="1"/>
          <c:tx>
            <c:strRef>
              <c:f>'Distributor Cash flow'!$D$3</c:f>
              <c:strCache>
                <c:ptCount val="1"/>
                <c:pt idx="0">
                  <c:v>Investment</c:v>
                </c:pt>
              </c:strCache>
            </c:strRef>
          </c:tx>
          <c:val>
            <c:numRef>
              <c:f>'Distributor Cash flow'!$D$4:$D$8</c:f>
              <c:numCache>
                <c:formatCode>_-[$$-409]* #,##0_ ;_-[$$-409]* \-#,##0\ ;_-[$$-409]* "-"??_ ;_-@_ </c:formatCode>
                <c:ptCount val="5"/>
                <c:pt idx="0">
                  <c:v>-24231.600000000002</c:v>
                </c:pt>
                <c:pt idx="1">
                  <c:v>-1346.2</c:v>
                </c:pt>
                <c:pt idx="2">
                  <c:v>-1413.5100000000002</c:v>
                </c:pt>
                <c:pt idx="3">
                  <c:v>-1484.1855</c:v>
                </c:pt>
                <c:pt idx="4">
                  <c:v>-1558.394775</c:v>
                </c:pt>
              </c:numCache>
            </c:numRef>
          </c:val>
        </c:ser>
        <c:shape val="box"/>
        <c:axId val="78956032"/>
        <c:axId val="78957568"/>
        <c:axId val="0"/>
      </c:bar3DChart>
      <c:catAx>
        <c:axId val="78956032"/>
        <c:scaling>
          <c:orientation val="minMax"/>
        </c:scaling>
        <c:axPos val="b"/>
        <c:tickLblPos val="nextTo"/>
        <c:crossAx val="78957568"/>
        <c:crosses val="autoZero"/>
        <c:auto val="1"/>
        <c:lblAlgn val="ctr"/>
        <c:lblOffset val="100"/>
      </c:catAx>
      <c:valAx>
        <c:axId val="78957568"/>
        <c:scaling>
          <c:orientation val="minMax"/>
        </c:scaling>
        <c:axPos val="l"/>
        <c:majorGridlines/>
        <c:numFmt formatCode="_-[$$-409]* #,##0_ ;_-[$$-409]* \-#,##0\ ;_-[$$-409]* &quot;-&quot;??_ ;_-@_ " sourceLinked="1"/>
        <c:tickLblPos val="nextTo"/>
        <c:crossAx val="78956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1280410</xdr:colOff>
      <xdr:row>10</xdr:row>
      <xdr:rowOff>7808</xdr:rowOff>
    </xdr:from>
    <xdr:to>
      <xdr:col>13</xdr:col>
      <xdr:colOff>304488</xdr:colOff>
      <xdr:row>24</xdr:row>
      <xdr:rowOff>124918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187377</xdr:rowOff>
    </xdr:from>
    <xdr:to>
      <xdr:col>5</xdr:col>
      <xdr:colOff>905655</xdr:colOff>
      <xdr:row>24</xdr:row>
      <xdr:rowOff>117110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6"/>
  <sheetViews>
    <sheetView tabSelected="1" view="pageLayout" topLeftCell="D1" zoomScaleNormal="100" workbookViewId="0">
      <selection activeCell="G9" sqref="G9"/>
    </sheetView>
  </sheetViews>
  <sheetFormatPr defaultRowHeight="15"/>
  <cols>
    <col min="1" max="1" width="8.28515625" customWidth="1"/>
    <col min="2" max="2" width="36.140625" bestFit="1" customWidth="1"/>
    <col min="3" max="3" width="13.7109375" customWidth="1"/>
    <col min="4" max="4" width="11.5703125" customWidth="1"/>
    <col min="7" max="7" width="27.7109375" customWidth="1"/>
    <col min="8" max="10" width="14.42578125" customWidth="1"/>
    <col min="11" max="11" width="18" bestFit="1" customWidth="1"/>
  </cols>
  <sheetData>
    <row r="1" spans="2:9">
      <c r="B1" s="4"/>
    </row>
    <row r="2" spans="2:9" ht="23.25">
      <c r="B2" s="74" t="s">
        <v>30</v>
      </c>
      <c r="C2" t="s">
        <v>41</v>
      </c>
    </row>
    <row r="4" spans="2:9">
      <c r="B4" t="s">
        <v>27</v>
      </c>
      <c r="C4" s="78">
        <v>20</v>
      </c>
      <c r="G4" s="81" t="s">
        <v>42</v>
      </c>
    </row>
    <row r="5" spans="2:9">
      <c r="B5" s="17" t="s">
        <v>32</v>
      </c>
      <c r="C5" s="79">
        <v>0.05</v>
      </c>
      <c r="G5" t="s">
        <v>43</v>
      </c>
    </row>
    <row r="6" spans="2:9">
      <c r="B6" t="s">
        <v>31</v>
      </c>
      <c r="C6" s="79">
        <v>0.25</v>
      </c>
    </row>
    <row r="7" spans="2:9">
      <c r="G7" s="81" t="s">
        <v>30</v>
      </c>
      <c r="H7" t="s">
        <v>49</v>
      </c>
    </row>
    <row r="8" spans="2:9">
      <c r="B8" t="s">
        <v>28</v>
      </c>
      <c r="C8" s="78">
        <v>20</v>
      </c>
      <c r="G8" s="81" t="s">
        <v>44</v>
      </c>
      <c r="H8" t="s">
        <v>46</v>
      </c>
    </row>
    <row r="9" spans="2:9">
      <c r="B9" s="17" t="s">
        <v>32</v>
      </c>
      <c r="C9" s="79">
        <v>0.05</v>
      </c>
      <c r="G9" s="81" t="s">
        <v>59</v>
      </c>
      <c r="H9" t="s">
        <v>50</v>
      </c>
    </row>
    <row r="10" spans="2:9">
      <c r="B10" t="s">
        <v>31</v>
      </c>
      <c r="C10" s="79">
        <v>0.25</v>
      </c>
      <c r="G10" s="81" t="s">
        <v>45</v>
      </c>
      <c r="H10" t="s">
        <v>47</v>
      </c>
    </row>
    <row r="12" spans="2:9">
      <c r="B12" t="s">
        <v>21</v>
      </c>
      <c r="C12" s="78">
        <v>20</v>
      </c>
    </row>
    <row r="13" spans="2:9">
      <c r="B13" t="s">
        <v>33</v>
      </c>
      <c r="C13" s="79">
        <v>0.25</v>
      </c>
      <c r="G13" s="87" t="s">
        <v>48</v>
      </c>
      <c r="H13" s="87"/>
      <c r="I13" s="87"/>
    </row>
    <row r="14" spans="2:9">
      <c r="G14" s="86" t="s">
        <v>57</v>
      </c>
      <c r="H14" s="86"/>
      <c r="I14" s="86"/>
    </row>
    <row r="15" spans="2:9">
      <c r="B15" t="s">
        <v>23</v>
      </c>
      <c r="C15" s="80">
        <v>300</v>
      </c>
      <c r="G15" s="86"/>
      <c r="H15" s="86"/>
      <c r="I15" s="86"/>
    </row>
    <row r="16" spans="2:9">
      <c r="B16" t="s">
        <v>24</v>
      </c>
      <c r="C16" s="80">
        <v>1095</v>
      </c>
      <c r="G16" s="86"/>
      <c r="H16" s="86"/>
      <c r="I16" s="86"/>
    </row>
    <row r="17" spans="2:9">
      <c r="B17" t="s">
        <v>26</v>
      </c>
      <c r="C17" s="80">
        <v>100</v>
      </c>
      <c r="G17" s="86"/>
      <c r="H17" s="86"/>
      <c r="I17" s="86"/>
    </row>
    <row r="18" spans="2:9">
      <c r="G18" s="86"/>
      <c r="H18" s="86"/>
      <c r="I18" s="86"/>
    </row>
    <row r="19" spans="2:9">
      <c r="B19" t="s">
        <v>25</v>
      </c>
      <c r="C19" s="80">
        <v>325</v>
      </c>
    </row>
    <row r="21" spans="2:9">
      <c r="B21" s="81" t="s">
        <v>40</v>
      </c>
    </row>
    <row r="22" spans="2:9">
      <c r="B22" s="82" t="s">
        <v>51</v>
      </c>
      <c r="C22" s="83">
        <f>'Distributor Cash flow'!E4</f>
        <v>-18881.600000000002</v>
      </c>
    </row>
    <row r="23" spans="2:9">
      <c r="B23" s="82" t="s">
        <v>52</v>
      </c>
      <c r="C23" s="83">
        <f>'Distributor Cash flow'!E5</f>
        <v>-8747.8000000000029</v>
      </c>
    </row>
    <row r="24" spans="2:9">
      <c r="B24" s="82" t="s">
        <v>53</v>
      </c>
      <c r="C24" s="83">
        <f>'Distributor Cash flow'!E6</f>
        <v>7685.1899999999951</v>
      </c>
    </row>
    <row r="25" spans="2:9">
      <c r="B25" s="82" t="s">
        <v>54</v>
      </c>
      <c r="C25" s="83">
        <f>'Distributor Cash flow'!E7</f>
        <v>28691.829499999993</v>
      </c>
    </row>
    <row r="26" spans="2:9">
      <c r="B26" s="82" t="s">
        <v>55</v>
      </c>
      <c r="C26" s="83">
        <f>'Distributor Cash flow'!E8</f>
        <v>53750.40097499999</v>
      </c>
    </row>
  </sheetData>
  <mergeCells count="2">
    <mergeCell ref="G14:I18"/>
    <mergeCell ref="G13:I13"/>
  </mergeCells>
  <pageMargins left="0.7" right="0.7" top="0.75" bottom="0.75" header="0.3" footer="0.3"/>
  <pageSetup paperSize="9" orientation="portrait" verticalDpi="0" r:id="rId1"/>
  <headerFooter>
    <oddHeader>&amp;CCONTEX SERVICE PROGRAM, OCTOBER 2009
ROI Calculator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F16"/>
  <sheetViews>
    <sheetView zoomScaleNormal="100" workbookViewId="0">
      <selection activeCell="B11" sqref="B11"/>
    </sheetView>
  </sheetViews>
  <sheetFormatPr defaultRowHeight="15"/>
  <cols>
    <col min="2" max="2" width="27.28515625" bestFit="1" customWidth="1"/>
    <col min="6" max="6" width="13.140625" customWidth="1"/>
  </cols>
  <sheetData>
    <row r="3" spans="2:6">
      <c r="C3" t="s">
        <v>41</v>
      </c>
    </row>
    <row r="5" spans="2:6">
      <c r="B5" s="85" t="s">
        <v>37</v>
      </c>
      <c r="D5" s="4" t="s">
        <v>9</v>
      </c>
      <c r="E5" s="4" t="s">
        <v>5</v>
      </c>
      <c r="F5" s="4" t="s">
        <v>8</v>
      </c>
    </row>
    <row r="6" spans="2:6">
      <c r="B6" t="s">
        <v>18</v>
      </c>
      <c r="C6" s="80">
        <v>10745</v>
      </c>
      <c r="D6" s="78">
        <v>1</v>
      </c>
      <c r="E6" s="79">
        <v>0.1</v>
      </c>
      <c r="F6" s="5">
        <f>C6*D6-C6*D6*E6</f>
        <v>9670.5</v>
      </c>
    </row>
    <row r="7" spans="2:6">
      <c r="B7" t="s">
        <v>19</v>
      </c>
      <c r="C7" s="80">
        <v>7731</v>
      </c>
      <c r="D7" s="78">
        <v>1</v>
      </c>
      <c r="E7" s="79">
        <v>0.1</v>
      </c>
      <c r="F7" s="5">
        <f t="shared" ref="F7:F8" si="0">C7*D7-C7*D7*E7</f>
        <v>6957.9</v>
      </c>
    </row>
    <row r="8" spans="2:6">
      <c r="B8" t="s">
        <v>38</v>
      </c>
      <c r="C8" s="80">
        <v>8448</v>
      </c>
      <c r="D8" s="78">
        <v>1</v>
      </c>
      <c r="E8" s="79">
        <v>0.1</v>
      </c>
      <c r="F8" s="5">
        <f t="shared" si="0"/>
        <v>7603.2</v>
      </c>
    </row>
    <row r="9" spans="2:6">
      <c r="C9" s="84">
        <f>SUM(C6:C8)</f>
        <v>26924</v>
      </c>
    </row>
    <row r="11" spans="2:6">
      <c r="B11" t="s">
        <v>35</v>
      </c>
    </row>
    <row r="12" spans="2:6">
      <c r="B12" s="76" t="s">
        <v>11</v>
      </c>
      <c r="C12" s="12"/>
      <c r="F12" s="75">
        <f>SUM(F6:F8)</f>
        <v>24231.600000000002</v>
      </c>
    </row>
    <row r="13" spans="2:6">
      <c r="B13" s="76" t="s">
        <v>12</v>
      </c>
      <c r="D13" t="s">
        <v>34</v>
      </c>
      <c r="E13" s="3">
        <f>(Assumptions!C$5+Assumptions!C$9)/2</f>
        <v>0.05</v>
      </c>
      <c r="F13" s="5">
        <f>C9*E13</f>
        <v>1346.2</v>
      </c>
    </row>
    <row r="14" spans="2:6">
      <c r="B14" s="76" t="s">
        <v>13</v>
      </c>
      <c r="D14" t="s">
        <v>34</v>
      </c>
      <c r="E14" s="3">
        <f>(Assumptions!C$5+Assumptions!C$9)/2</f>
        <v>0.05</v>
      </c>
      <c r="F14" s="5">
        <f>(C9+F13)*E14</f>
        <v>1413.5100000000002</v>
      </c>
    </row>
    <row r="15" spans="2:6">
      <c r="B15" s="76" t="s">
        <v>14</v>
      </c>
      <c r="D15" t="s">
        <v>34</v>
      </c>
      <c r="E15" s="3">
        <f>(Assumptions!C$5+Assumptions!C$9)/2</f>
        <v>0.05</v>
      </c>
      <c r="F15" s="5">
        <f>(C9+F13 + F14)*E15</f>
        <v>1484.1855</v>
      </c>
    </row>
    <row r="16" spans="2:6">
      <c r="B16" s="76" t="s">
        <v>15</v>
      </c>
      <c r="D16" t="s">
        <v>34</v>
      </c>
      <c r="E16" s="3">
        <f>(Assumptions!C$5+Assumptions!C$9)/2</f>
        <v>0.05</v>
      </c>
      <c r="F16" s="5">
        <f>(C9+F13+F14+F15)*E16</f>
        <v>1558.394775</v>
      </c>
    </row>
  </sheetData>
  <sheetProtection sheet="1" objects="1" scenarios="1"/>
  <pageMargins left="0.7" right="0.7" top="0.75" bottom="0.75" header="0.3" footer="0.3"/>
  <pageSetup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F9"/>
  <sheetViews>
    <sheetView zoomScale="122" zoomScaleNormal="122" workbookViewId="0">
      <selection activeCell="G9" sqref="G9"/>
    </sheetView>
  </sheetViews>
  <sheetFormatPr defaultRowHeight="15"/>
  <cols>
    <col min="3" max="3" width="14" customWidth="1"/>
    <col min="4" max="4" width="12.5703125" customWidth="1"/>
    <col min="5" max="6" width="19.28515625" bestFit="1" customWidth="1"/>
  </cols>
  <sheetData>
    <row r="3" spans="2:6">
      <c r="B3" t="s">
        <v>29</v>
      </c>
      <c r="C3" s="4" t="s">
        <v>39</v>
      </c>
      <c r="D3" s="4" t="s">
        <v>20</v>
      </c>
      <c r="E3" s="4" t="s">
        <v>56</v>
      </c>
      <c r="F3" s="4"/>
    </row>
    <row r="4" spans="2:6">
      <c r="B4" t="s">
        <v>11</v>
      </c>
      <c r="C4" s="56">
        <f>'Full ROI Calculation'!F21</f>
        <v>5350</v>
      </c>
      <c r="D4" s="5">
        <f>-'Initial Investment'!F12</f>
        <v>-24231.600000000002</v>
      </c>
      <c r="E4" s="5">
        <f>C4+D4</f>
        <v>-18881.600000000002</v>
      </c>
      <c r="F4" s="5"/>
    </row>
    <row r="5" spans="2:6">
      <c r="B5" t="s">
        <v>12</v>
      </c>
      <c r="C5" s="56">
        <f>'Full ROI Calculation'!J21</f>
        <v>11480</v>
      </c>
      <c r="D5" s="5">
        <f>-'Initial Investment'!F13</f>
        <v>-1346.2</v>
      </c>
      <c r="E5" s="5">
        <f>C5+D5+E4</f>
        <v>-8747.8000000000029</v>
      </c>
      <c r="F5" s="5"/>
    </row>
    <row r="6" spans="2:6">
      <c r="B6" t="s">
        <v>13</v>
      </c>
      <c r="C6" s="56">
        <f>'Full ROI Calculation'!N21</f>
        <v>17846.5</v>
      </c>
      <c r="D6" s="5">
        <f>-'Initial Investment'!F14</f>
        <v>-1413.5100000000002</v>
      </c>
      <c r="E6" s="5">
        <f t="shared" ref="E6:E8" si="0">C6+D6+E5</f>
        <v>7685.1899999999951</v>
      </c>
      <c r="F6" s="5"/>
    </row>
    <row r="7" spans="2:6">
      <c r="B7" t="s">
        <v>14</v>
      </c>
      <c r="C7" s="56">
        <f>'Full ROI Calculation'!R21</f>
        <v>22490.824999999997</v>
      </c>
      <c r="D7" s="5">
        <f>-'Initial Investment'!F15</f>
        <v>-1484.1855</v>
      </c>
      <c r="E7" s="5">
        <f t="shared" si="0"/>
        <v>28691.829499999993</v>
      </c>
      <c r="F7" s="5"/>
    </row>
    <row r="8" spans="2:6">
      <c r="B8" t="s">
        <v>15</v>
      </c>
      <c r="C8" s="56">
        <f>'Full ROI Calculation'!V21</f>
        <v>26616.966249999998</v>
      </c>
      <c r="D8" s="5">
        <f>-'Initial Investment'!F16</f>
        <v>-1558.394775</v>
      </c>
      <c r="E8" s="5">
        <f t="shared" si="0"/>
        <v>53750.40097499999</v>
      </c>
      <c r="F8" s="5"/>
    </row>
    <row r="9" spans="2:6">
      <c r="E9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selection activeCell="B17" sqref="B17"/>
    </sheetView>
  </sheetViews>
  <sheetFormatPr defaultRowHeight="15"/>
  <cols>
    <col min="1" max="1" width="12.85546875" bestFit="1" customWidth="1"/>
    <col min="2" max="2" width="44.140625" bestFit="1" customWidth="1"/>
    <col min="3" max="3" width="11.140625" bestFit="1" customWidth="1"/>
    <col min="4" max="4" width="12" customWidth="1"/>
    <col min="5" max="5" width="21.85546875" bestFit="1" customWidth="1"/>
    <col min="6" max="6" width="13.85546875" customWidth="1"/>
    <col min="7" max="7" width="11.140625" customWidth="1"/>
    <col min="8" max="8" width="11" style="4" bestFit="1" customWidth="1"/>
    <col min="9" max="9" width="21.85546875" bestFit="1" customWidth="1"/>
    <col min="10" max="10" width="9.7109375" bestFit="1" customWidth="1"/>
    <col min="11" max="11" width="10.28515625" bestFit="1" customWidth="1"/>
    <col min="12" max="12" width="14" style="4" customWidth="1"/>
    <col min="13" max="13" width="21.85546875" style="4" bestFit="1" customWidth="1"/>
    <col min="14" max="14" width="14" style="4" customWidth="1"/>
    <col min="15" max="15" width="7.7109375" bestFit="1" customWidth="1"/>
    <col min="16" max="16" width="12.5703125" customWidth="1"/>
    <col min="17" max="17" width="21.85546875" bestFit="1" customWidth="1"/>
    <col min="18" max="18" width="10.28515625" bestFit="1" customWidth="1"/>
    <col min="20" max="20" width="13.85546875" customWidth="1"/>
    <col min="21" max="21" width="21.85546875" bestFit="1" customWidth="1"/>
  </cols>
  <sheetData>
    <row r="1" spans="1:22" ht="15.75" thickBot="1"/>
    <row r="2" spans="1:22" s="66" customFormat="1" ht="19.5" thickBot="1">
      <c r="C2" s="67" t="s">
        <v>11</v>
      </c>
      <c r="D2" s="68"/>
      <c r="E2" s="68"/>
      <c r="F2" s="69"/>
      <c r="G2" s="70" t="s">
        <v>12</v>
      </c>
      <c r="H2" s="71"/>
      <c r="I2" s="68"/>
      <c r="J2" s="69"/>
      <c r="K2" s="72" t="s">
        <v>13</v>
      </c>
      <c r="L2" s="71"/>
      <c r="M2" s="71"/>
      <c r="N2" s="73"/>
      <c r="O2" s="72" t="s">
        <v>14</v>
      </c>
      <c r="P2" s="68"/>
      <c r="Q2" s="71"/>
      <c r="R2" s="69"/>
      <c r="S2" s="67" t="s">
        <v>15</v>
      </c>
      <c r="T2" s="68"/>
      <c r="U2" s="68"/>
      <c r="V2" s="69"/>
    </row>
    <row r="3" spans="1:22" ht="46.5" customHeight="1" thickBot="1">
      <c r="C3" s="47" t="s">
        <v>8</v>
      </c>
      <c r="D3" s="48" t="s">
        <v>7</v>
      </c>
      <c r="E3" s="49" t="s">
        <v>58</v>
      </c>
      <c r="F3" s="50" t="s">
        <v>10</v>
      </c>
      <c r="G3" s="51" t="s">
        <v>8</v>
      </c>
      <c r="H3" s="52" t="s">
        <v>7</v>
      </c>
      <c r="I3" s="49" t="s">
        <v>58</v>
      </c>
      <c r="J3" s="50" t="s">
        <v>10</v>
      </c>
      <c r="K3" s="54" t="s">
        <v>8</v>
      </c>
      <c r="L3" s="52" t="s">
        <v>7</v>
      </c>
      <c r="M3" s="49" t="s">
        <v>58</v>
      </c>
      <c r="N3" s="50" t="s">
        <v>10</v>
      </c>
      <c r="O3" s="60" t="s">
        <v>8</v>
      </c>
      <c r="P3" s="38" t="s">
        <v>7</v>
      </c>
      <c r="Q3" s="39" t="s">
        <v>58</v>
      </c>
      <c r="R3" s="40" t="s">
        <v>10</v>
      </c>
      <c r="S3" s="60" t="s">
        <v>8</v>
      </c>
      <c r="T3" s="38" t="s">
        <v>7</v>
      </c>
      <c r="U3" s="39" t="s">
        <v>58</v>
      </c>
      <c r="V3" s="40" t="s">
        <v>10</v>
      </c>
    </row>
    <row r="4" spans="1:22">
      <c r="A4" t="s">
        <v>2</v>
      </c>
      <c r="B4" t="s">
        <v>17</v>
      </c>
      <c r="C4" s="28">
        <f>Assumptions!C15</f>
        <v>300</v>
      </c>
      <c r="D4" s="32"/>
      <c r="E4" s="6"/>
      <c r="F4" s="24"/>
      <c r="G4" s="35">
        <f>C4</f>
        <v>300</v>
      </c>
      <c r="H4" s="7"/>
      <c r="I4" s="6"/>
      <c r="J4" s="24"/>
      <c r="K4" s="35">
        <f>C4</f>
        <v>300</v>
      </c>
      <c r="L4" s="7"/>
      <c r="M4" s="7"/>
      <c r="N4" s="22"/>
      <c r="O4" s="62">
        <f>K4</f>
        <v>300</v>
      </c>
      <c r="P4" s="20"/>
      <c r="Q4" s="20"/>
      <c r="R4" s="21"/>
      <c r="S4" s="62">
        <f>O4</f>
        <v>300</v>
      </c>
      <c r="T4" s="20"/>
      <c r="U4" s="20"/>
      <c r="V4" s="21"/>
    </row>
    <row r="5" spans="1:22">
      <c r="B5" t="s">
        <v>60</v>
      </c>
      <c r="C5" s="29"/>
      <c r="D5" s="32"/>
      <c r="E5" s="6"/>
      <c r="F5" s="24"/>
      <c r="G5" s="36"/>
      <c r="H5" s="7"/>
      <c r="I5" s="6"/>
      <c r="J5" s="24"/>
      <c r="K5" s="35"/>
      <c r="L5" s="7"/>
      <c r="M5" s="7"/>
      <c r="N5" s="22"/>
      <c r="O5" s="36"/>
      <c r="P5" s="6"/>
      <c r="Q5" s="6"/>
      <c r="R5" s="24"/>
      <c r="S5" s="35"/>
      <c r="T5" s="6"/>
      <c r="U5" s="6"/>
      <c r="V5" s="24"/>
    </row>
    <row r="6" spans="1:22">
      <c r="B6" t="s">
        <v>1</v>
      </c>
      <c r="C6" s="29">
        <f>Assumptions!C17</f>
        <v>100</v>
      </c>
      <c r="D6" s="32"/>
      <c r="E6" s="6"/>
      <c r="F6" s="24"/>
      <c r="G6" s="35">
        <f>Assumptions!C17</f>
        <v>100</v>
      </c>
      <c r="H6" s="7"/>
      <c r="I6" s="6"/>
      <c r="J6" s="24"/>
      <c r="K6" s="35">
        <f>Assumptions!C17</f>
        <v>100</v>
      </c>
      <c r="L6" s="7"/>
      <c r="M6" s="7"/>
      <c r="N6" s="22"/>
      <c r="O6" s="36"/>
      <c r="P6" s="6"/>
      <c r="Q6" s="6"/>
      <c r="R6" s="24"/>
      <c r="S6" s="35">
        <f>Assumptions!C17</f>
        <v>100</v>
      </c>
      <c r="T6" s="6"/>
      <c r="U6" s="6"/>
      <c r="V6" s="24"/>
    </row>
    <row r="7" spans="1:22">
      <c r="B7" t="s">
        <v>0</v>
      </c>
      <c r="C7" s="29"/>
      <c r="D7" s="32"/>
      <c r="E7" s="6"/>
      <c r="F7" s="24"/>
      <c r="G7" s="36"/>
      <c r="H7" s="7"/>
      <c r="I7" s="6"/>
      <c r="J7" s="24"/>
      <c r="K7" s="36"/>
      <c r="L7" s="7"/>
      <c r="M7" s="7"/>
      <c r="N7" s="22"/>
      <c r="O7" s="36"/>
      <c r="P7" s="6"/>
      <c r="Q7" s="6"/>
      <c r="R7" s="24"/>
      <c r="S7" s="35"/>
      <c r="T7" s="6"/>
      <c r="U7" s="6"/>
      <c r="V7" s="24"/>
    </row>
    <row r="8" spans="1:22" ht="15.75" thickBot="1">
      <c r="B8" s="2" t="s">
        <v>4</v>
      </c>
      <c r="C8" s="30">
        <f>C4-C6</f>
        <v>200</v>
      </c>
      <c r="D8" s="33">
        <f>Assumptions!C4</f>
        <v>20</v>
      </c>
      <c r="E8" s="15">
        <f>Assumptions!C6</f>
        <v>0.25</v>
      </c>
      <c r="F8" s="25">
        <f>C8*D8*E8</f>
        <v>1000</v>
      </c>
      <c r="G8" s="37">
        <f>G4-G6</f>
        <v>200</v>
      </c>
      <c r="H8" s="18">
        <f>D8+D8*Assumptions!C5</f>
        <v>21</v>
      </c>
      <c r="I8" s="15">
        <f>E8</f>
        <v>0.25</v>
      </c>
      <c r="J8" s="25">
        <f>G8*H8*I8</f>
        <v>1050</v>
      </c>
      <c r="K8" s="37">
        <f>K4</f>
        <v>300</v>
      </c>
      <c r="L8" s="55">
        <f>H8+H8*Assumptions!C5</f>
        <v>22.05</v>
      </c>
      <c r="M8" s="19">
        <f>I8</f>
        <v>0.25</v>
      </c>
      <c r="N8" s="43">
        <f>K8*L8*M8</f>
        <v>1653.75</v>
      </c>
      <c r="O8" s="64">
        <f>O4</f>
        <v>300</v>
      </c>
      <c r="P8" s="65">
        <f>L8+L8*Assumptions!C5</f>
        <v>23.1525</v>
      </c>
      <c r="Q8" s="15">
        <f>M8</f>
        <v>0.25</v>
      </c>
      <c r="R8" s="25">
        <f>O8*P8*Q8</f>
        <v>1736.4375</v>
      </c>
      <c r="S8" s="64">
        <f t="shared" ref="S8:S14" si="0">O8</f>
        <v>300</v>
      </c>
      <c r="T8" s="65">
        <f>P8+P8*Assumptions!C5</f>
        <v>24.310124999999999</v>
      </c>
      <c r="U8" s="15">
        <f>Q8</f>
        <v>0.25</v>
      </c>
      <c r="V8" s="25">
        <f>S8*T8*U8</f>
        <v>1823.2593749999999</v>
      </c>
    </row>
    <row r="9" spans="1:22" ht="15.75" thickTop="1">
      <c r="C9" s="23"/>
      <c r="D9" s="32"/>
      <c r="E9" s="6"/>
      <c r="F9" s="25"/>
      <c r="G9" s="35"/>
      <c r="H9" s="7"/>
      <c r="I9" s="6"/>
      <c r="J9" s="25"/>
      <c r="K9" s="35"/>
      <c r="L9" s="7"/>
      <c r="M9" s="7"/>
      <c r="N9" s="43"/>
      <c r="O9" s="36"/>
      <c r="P9" s="6"/>
      <c r="Q9" s="6"/>
      <c r="R9" s="25"/>
      <c r="S9" s="35"/>
      <c r="T9" s="6"/>
      <c r="U9" s="6"/>
      <c r="V9" s="25"/>
    </row>
    <row r="10" spans="1:22">
      <c r="A10" t="s">
        <v>3</v>
      </c>
      <c r="B10" t="s">
        <v>17</v>
      </c>
      <c r="C10" s="28">
        <f>Assumptions!C15</f>
        <v>300</v>
      </c>
      <c r="D10" s="32"/>
      <c r="E10" s="6"/>
      <c r="F10" s="25"/>
      <c r="G10" s="35">
        <f>C10</f>
        <v>300</v>
      </c>
      <c r="H10" s="7"/>
      <c r="I10" s="6"/>
      <c r="J10" s="25"/>
      <c r="K10" s="35">
        <f>C10</f>
        <v>300</v>
      </c>
      <c r="L10" s="7"/>
      <c r="M10" s="7"/>
      <c r="N10" s="43"/>
      <c r="O10" s="35">
        <f>K10</f>
        <v>300</v>
      </c>
      <c r="P10" s="6"/>
      <c r="Q10" s="6"/>
      <c r="R10" s="25"/>
      <c r="S10" s="35">
        <f t="shared" si="0"/>
        <v>300</v>
      </c>
      <c r="T10" s="6"/>
      <c r="U10" s="6"/>
      <c r="V10" s="25"/>
    </row>
    <row r="11" spans="1:22">
      <c r="B11" t="s">
        <v>60</v>
      </c>
      <c r="C11" s="29"/>
      <c r="D11" s="32"/>
      <c r="E11" s="6"/>
      <c r="F11" s="25"/>
      <c r="G11" s="35"/>
      <c r="H11" s="7"/>
      <c r="I11" s="6"/>
      <c r="J11" s="25"/>
      <c r="K11" s="35"/>
      <c r="L11" s="7"/>
      <c r="M11" s="7"/>
      <c r="N11" s="43"/>
      <c r="O11" s="36"/>
      <c r="P11" s="6"/>
      <c r="Q11" s="6"/>
      <c r="R11" s="25"/>
      <c r="S11" s="35"/>
      <c r="T11" s="6"/>
      <c r="U11" s="6"/>
      <c r="V11" s="25"/>
    </row>
    <row r="12" spans="1:22">
      <c r="B12" t="s">
        <v>1</v>
      </c>
      <c r="C12" s="29">
        <f>Assumptions!C17</f>
        <v>100</v>
      </c>
      <c r="D12" s="32"/>
      <c r="E12" s="6"/>
      <c r="F12" s="25"/>
      <c r="G12" s="35">
        <f>Assumptions!C17</f>
        <v>100</v>
      </c>
      <c r="H12" s="7"/>
      <c r="I12" s="6"/>
      <c r="J12" s="25"/>
      <c r="K12" s="35">
        <f>Assumptions!C17</f>
        <v>100</v>
      </c>
      <c r="L12" s="7"/>
      <c r="M12" s="7"/>
      <c r="N12" s="43"/>
      <c r="O12" s="36"/>
      <c r="P12" s="6"/>
      <c r="Q12" s="6"/>
      <c r="R12" s="25"/>
      <c r="S12" s="35">
        <f>Assumptions!C17</f>
        <v>100</v>
      </c>
      <c r="T12" s="6"/>
      <c r="U12" s="6"/>
      <c r="V12" s="25"/>
    </row>
    <row r="13" spans="1:22">
      <c r="B13" t="s">
        <v>0</v>
      </c>
      <c r="C13" s="29"/>
      <c r="D13" s="32"/>
      <c r="E13" s="6"/>
      <c r="F13" s="25"/>
      <c r="G13" s="35"/>
      <c r="H13" s="7"/>
      <c r="I13" s="6"/>
      <c r="J13" s="25"/>
      <c r="K13" s="35"/>
      <c r="L13" s="7"/>
      <c r="M13" s="7"/>
      <c r="N13" s="43"/>
      <c r="O13" s="36"/>
      <c r="P13" s="6"/>
      <c r="Q13" s="6"/>
      <c r="R13" s="25"/>
      <c r="S13" s="35"/>
      <c r="T13" s="6"/>
      <c r="U13" s="6"/>
      <c r="V13" s="25"/>
    </row>
    <row r="14" spans="1:22" ht="15.75" thickBot="1">
      <c r="B14" s="2" t="s">
        <v>4</v>
      </c>
      <c r="C14" s="30">
        <f>C10-C12</f>
        <v>200</v>
      </c>
      <c r="D14" s="33">
        <f>Assumptions!C8</f>
        <v>20</v>
      </c>
      <c r="E14" s="15">
        <f>Assumptions!C10</f>
        <v>0.25</v>
      </c>
      <c r="F14" s="25">
        <f>C14*D14*E14</f>
        <v>1000</v>
      </c>
      <c r="G14" s="37">
        <f>G10-G12</f>
        <v>200</v>
      </c>
      <c r="H14" s="55">
        <f>D14+D14*Assumptions!C9</f>
        <v>21</v>
      </c>
      <c r="I14" s="15">
        <f>E14</f>
        <v>0.25</v>
      </c>
      <c r="J14" s="25">
        <f>G14*H14*I14</f>
        <v>1050</v>
      </c>
      <c r="K14" s="37">
        <f>K10</f>
        <v>300</v>
      </c>
      <c r="L14" s="55">
        <f>H14+H14*Assumptions!C9</f>
        <v>22.05</v>
      </c>
      <c r="M14" s="19">
        <f>I14</f>
        <v>0.25</v>
      </c>
      <c r="N14" s="43">
        <f>K14*L14*M14</f>
        <v>1653.75</v>
      </c>
      <c r="O14" s="64">
        <f>O10</f>
        <v>300</v>
      </c>
      <c r="P14" s="65">
        <f>L14+L14*Assumptions!C9</f>
        <v>23.1525</v>
      </c>
      <c r="Q14" s="15">
        <f>M14</f>
        <v>0.25</v>
      </c>
      <c r="R14" s="25">
        <f t="shared" ref="R14" si="1">O14*P14*Q14</f>
        <v>1736.4375</v>
      </c>
      <c r="S14" s="64">
        <f t="shared" si="0"/>
        <v>300</v>
      </c>
      <c r="T14" s="65">
        <f>P14+P14*Assumptions!C9</f>
        <v>24.310124999999999</v>
      </c>
      <c r="U14" s="15">
        <f>Q14</f>
        <v>0.25</v>
      </c>
      <c r="V14" s="25">
        <f t="shared" ref="V14:V20" si="2">S14*T14*U14</f>
        <v>1823.2593749999999</v>
      </c>
    </row>
    <row r="15" spans="1:22" ht="15.75" thickTop="1">
      <c r="C15" s="23"/>
      <c r="D15" s="32"/>
      <c r="E15" s="6"/>
      <c r="F15" s="25"/>
      <c r="G15" s="35"/>
      <c r="H15" s="7"/>
      <c r="I15" s="6"/>
      <c r="J15" s="25"/>
      <c r="K15" s="35"/>
      <c r="L15" s="7"/>
      <c r="M15" s="7"/>
      <c r="N15" s="43"/>
      <c r="O15" s="36"/>
      <c r="P15" s="6"/>
      <c r="Q15" s="6"/>
      <c r="R15" s="24"/>
      <c r="S15" s="36"/>
      <c r="T15" s="6"/>
      <c r="U15" s="6"/>
      <c r="V15" s="25"/>
    </row>
    <row r="16" spans="1:22">
      <c r="C16" s="23"/>
      <c r="D16" s="32"/>
      <c r="E16" s="6"/>
      <c r="F16" s="25"/>
      <c r="G16" s="35"/>
      <c r="H16" s="7"/>
      <c r="I16" s="6"/>
      <c r="J16" s="25"/>
      <c r="K16" s="35"/>
      <c r="L16" s="7"/>
      <c r="M16" s="7"/>
      <c r="N16" s="43"/>
      <c r="O16" s="36"/>
      <c r="P16" s="6"/>
      <c r="Q16" s="6"/>
      <c r="R16" s="24"/>
      <c r="S16" s="36"/>
      <c r="T16" s="6"/>
      <c r="U16" s="6"/>
      <c r="V16" s="25"/>
    </row>
    <row r="17" spans="1:22">
      <c r="A17" t="s">
        <v>16</v>
      </c>
      <c r="B17" t="s">
        <v>60</v>
      </c>
      <c r="C17" s="29">
        <f>Assumptions!C16</f>
        <v>1095</v>
      </c>
      <c r="D17" s="32"/>
      <c r="E17" s="6"/>
      <c r="F17" s="25"/>
      <c r="G17" s="35">
        <f>C17</f>
        <v>1095</v>
      </c>
      <c r="H17" s="7"/>
      <c r="I17" s="6"/>
      <c r="J17" s="25"/>
      <c r="K17" s="35">
        <f>G17</f>
        <v>1095</v>
      </c>
      <c r="L17" s="7"/>
      <c r="M17" s="7"/>
      <c r="N17" s="43"/>
      <c r="O17" s="35">
        <f>K17</f>
        <v>1095</v>
      </c>
      <c r="P17" s="6"/>
      <c r="Q17" s="6"/>
      <c r="R17" s="24"/>
      <c r="S17" s="35">
        <f>O17</f>
        <v>1095</v>
      </c>
      <c r="T17" s="6"/>
      <c r="U17" s="6"/>
      <c r="V17" s="25"/>
    </row>
    <row r="18" spans="1:22">
      <c r="B18" t="s">
        <v>1</v>
      </c>
      <c r="C18" s="29">
        <f>Assumptions!C17</f>
        <v>100</v>
      </c>
      <c r="D18" s="32"/>
      <c r="E18" s="6"/>
      <c r="F18" s="25"/>
      <c r="G18" s="35">
        <f t="shared" ref="G18:G20" si="3">C18</f>
        <v>100</v>
      </c>
      <c r="H18" s="7"/>
      <c r="I18" s="6"/>
      <c r="J18" s="25"/>
      <c r="K18" s="35">
        <f t="shared" ref="K18:K20" si="4">G18</f>
        <v>100</v>
      </c>
      <c r="L18" s="7"/>
      <c r="M18" s="7"/>
      <c r="N18" s="43"/>
      <c r="O18" s="35">
        <f t="shared" ref="O18:O20" si="5">K18</f>
        <v>100</v>
      </c>
      <c r="P18" s="6"/>
      <c r="Q18" s="6"/>
      <c r="R18" s="24"/>
      <c r="S18" s="35">
        <f>O18</f>
        <v>100</v>
      </c>
      <c r="T18" s="6"/>
      <c r="U18" s="6"/>
      <c r="V18" s="25"/>
    </row>
    <row r="19" spans="1:22">
      <c r="B19" t="s">
        <v>0</v>
      </c>
      <c r="C19" s="29">
        <f>Assumptions!C19</f>
        <v>325</v>
      </c>
      <c r="D19" s="32"/>
      <c r="E19" s="6"/>
      <c r="F19" s="25"/>
      <c r="G19" s="35">
        <f t="shared" si="3"/>
        <v>325</v>
      </c>
      <c r="H19" s="7"/>
      <c r="I19" s="6"/>
      <c r="J19" s="25"/>
      <c r="K19" s="35">
        <f t="shared" si="4"/>
        <v>325</v>
      </c>
      <c r="L19" s="7"/>
      <c r="M19" s="7"/>
      <c r="N19" s="43"/>
      <c r="O19" s="35">
        <f t="shared" si="5"/>
        <v>325</v>
      </c>
      <c r="P19" s="6"/>
      <c r="Q19" s="6"/>
      <c r="R19" s="24"/>
      <c r="S19" s="64">
        <f>O19</f>
        <v>325</v>
      </c>
      <c r="T19" s="6"/>
      <c r="U19" s="6"/>
      <c r="V19" s="25"/>
    </row>
    <row r="20" spans="1:22" ht="15.75" thickBot="1">
      <c r="B20" s="2" t="s">
        <v>4</v>
      </c>
      <c r="C20" s="31">
        <f>C17-C18-C19</f>
        <v>670</v>
      </c>
      <c r="D20" s="34">
        <f>Assumptions!C12</f>
        <v>20</v>
      </c>
      <c r="E20" s="26">
        <f>Assumptions!C13</f>
        <v>0.25</v>
      </c>
      <c r="F20" s="27">
        <f>C20*D20*E20</f>
        <v>3350</v>
      </c>
      <c r="G20" s="53">
        <f t="shared" si="3"/>
        <v>670</v>
      </c>
      <c r="H20" s="42">
        <f>D20-(D20*0.2)+D14+D8</f>
        <v>56</v>
      </c>
      <c r="I20" s="26">
        <f>E20</f>
        <v>0.25</v>
      </c>
      <c r="J20" s="27">
        <f>G20*H20*I20</f>
        <v>9380</v>
      </c>
      <c r="K20" s="53">
        <f t="shared" si="4"/>
        <v>670</v>
      </c>
      <c r="L20" s="57">
        <f>H20-(H20*0.2)+H14+H8</f>
        <v>86.8</v>
      </c>
      <c r="M20" s="44">
        <f>E20</f>
        <v>0.25</v>
      </c>
      <c r="N20" s="45">
        <f>K20*L20*M20</f>
        <v>14539</v>
      </c>
      <c r="O20" s="63">
        <f t="shared" si="5"/>
        <v>670</v>
      </c>
      <c r="P20" s="61">
        <f>L20-L20*0.2+L8+L14</f>
        <v>113.53999999999999</v>
      </c>
      <c r="Q20" s="26">
        <f>M20</f>
        <v>0.25</v>
      </c>
      <c r="R20" s="27">
        <f>O20*P20*Q20</f>
        <v>19017.949999999997</v>
      </c>
      <c r="S20" s="41">
        <f>O20</f>
        <v>670</v>
      </c>
      <c r="T20" s="61">
        <f>P20-P20*0.2+P8+P14</f>
        <v>137.137</v>
      </c>
      <c r="U20" s="26">
        <f>Q20</f>
        <v>0.25</v>
      </c>
      <c r="V20" s="27">
        <f t="shared" si="2"/>
        <v>22970.447499999998</v>
      </c>
    </row>
    <row r="21" spans="1:22" ht="16.5" thickTop="1" thickBot="1">
      <c r="A21" s="6" t="s">
        <v>6</v>
      </c>
      <c r="B21" s="6"/>
      <c r="C21" s="6"/>
      <c r="D21" s="6"/>
      <c r="E21" s="4" t="s">
        <v>22</v>
      </c>
      <c r="F21" s="59">
        <f>SUM(F8:F20)</f>
        <v>5350</v>
      </c>
      <c r="G21" s="14"/>
      <c r="H21" s="7"/>
      <c r="I21" s="4" t="s">
        <v>22</v>
      </c>
      <c r="J21" s="46">
        <f>SUM(J8:J20)</f>
        <v>11480</v>
      </c>
      <c r="K21" s="12"/>
      <c r="L21" s="7"/>
      <c r="M21" s="4" t="s">
        <v>22</v>
      </c>
      <c r="N21" s="59">
        <f>SUM(N8:N20)</f>
        <v>17846.5</v>
      </c>
      <c r="Q21" s="4" t="s">
        <v>22</v>
      </c>
      <c r="R21" s="46">
        <f>SUM(R8:R20)</f>
        <v>22490.824999999997</v>
      </c>
      <c r="U21" s="4" t="s">
        <v>22</v>
      </c>
      <c r="V21" s="46">
        <f>SUM(V8:V20)</f>
        <v>26616.966249999998</v>
      </c>
    </row>
    <row r="22" spans="1:22" ht="15.75" thickTop="1">
      <c r="F22" s="12"/>
      <c r="G22" s="12"/>
      <c r="H22" s="7"/>
      <c r="I22" s="6"/>
      <c r="J22" s="6"/>
      <c r="K22" s="6"/>
      <c r="L22" s="7"/>
      <c r="M22" s="7"/>
      <c r="N22" s="7"/>
    </row>
    <row r="23" spans="1:22">
      <c r="C23" t="s">
        <v>36</v>
      </c>
      <c r="E23" s="77">
        <f>D8*E8+D14*E14+D20*E20</f>
        <v>15</v>
      </c>
      <c r="H23"/>
      <c r="I23" s="77">
        <f t="shared" ref="I23:U23" si="6">H8*I8+H14*I14+H20*I20</f>
        <v>24.5</v>
      </c>
      <c r="J23" s="77"/>
      <c r="K23" s="77"/>
      <c r="L23" s="77"/>
      <c r="M23" s="77">
        <f t="shared" si="6"/>
        <v>32.725000000000001</v>
      </c>
      <c r="N23" s="77"/>
      <c r="O23" s="77"/>
      <c r="P23" s="77"/>
      <c r="Q23" s="77">
        <f t="shared" si="6"/>
        <v>39.96125</v>
      </c>
      <c r="R23" s="77"/>
      <c r="S23" s="77"/>
      <c r="T23" s="77"/>
      <c r="U23" s="77">
        <f t="shared" si="6"/>
        <v>46.4393125</v>
      </c>
    </row>
    <row r="24" spans="1:22">
      <c r="B24" s="6"/>
      <c r="C24" s="8"/>
      <c r="D24" s="9"/>
      <c r="E24" s="10"/>
      <c r="F24" s="10"/>
      <c r="G24" s="10"/>
      <c r="H24" s="16"/>
      <c r="I24" s="6"/>
      <c r="J24" s="6"/>
      <c r="K24" s="6"/>
      <c r="L24" s="14"/>
      <c r="M24" s="14"/>
      <c r="N24" s="7"/>
    </row>
    <row r="25" spans="1:22">
      <c r="A25" s="6"/>
      <c r="C25" s="4"/>
      <c r="D25" s="4"/>
      <c r="F25" s="11"/>
      <c r="G25" s="11"/>
      <c r="H25" s="16"/>
      <c r="I25" s="6"/>
      <c r="J25" s="6"/>
      <c r="K25" s="6"/>
      <c r="L25" s="14"/>
      <c r="M25" s="14"/>
      <c r="N25" s="7"/>
    </row>
    <row r="26" spans="1:22">
      <c r="B26" s="1"/>
      <c r="D26" s="9"/>
      <c r="E26" s="12"/>
      <c r="F26" s="11"/>
      <c r="G26" s="11"/>
      <c r="H26" s="16"/>
      <c r="I26" s="6"/>
      <c r="J26" s="6"/>
      <c r="K26" s="6"/>
      <c r="L26" s="14"/>
      <c r="M26" s="14"/>
      <c r="N26" s="7"/>
    </row>
    <row r="27" spans="1:22">
      <c r="B27" s="1"/>
      <c r="D27" s="9"/>
      <c r="E27" s="12"/>
      <c r="F27" s="8"/>
      <c r="G27" s="8"/>
      <c r="H27" s="7"/>
      <c r="I27" s="6"/>
      <c r="J27" s="6"/>
      <c r="K27" s="6"/>
      <c r="L27" s="14"/>
      <c r="M27" s="14"/>
      <c r="N27" s="7"/>
    </row>
    <row r="28" spans="1:22">
      <c r="B28" s="1"/>
      <c r="D28" s="9"/>
      <c r="E28" s="12"/>
      <c r="F28" s="6"/>
      <c r="G28" s="6"/>
      <c r="H28" s="7"/>
      <c r="I28" s="6"/>
      <c r="J28" s="6"/>
      <c r="K28" s="6"/>
      <c r="L28" s="7"/>
      <c r="M28" s="7"/>
      <c r="N28" s="7"/>
    </row>
    <row r="29" spans="1:22">
      <c r="B29" s="12"/>
      <c r="D29" s="6"/>
      <c r="E29" s="58"/>
      <c r="F29" s="12"/>
      <c r="G29" s="12"/>
      <c r="H29" s="7"/>
      <c r="I29" s="6"/>
      <c r="J29" s="6"/>
      <c r="K29" s="6"/>
      <c r="L29" s="7"/>
      <c r="M29" s="7"/>
      <c r="N29" s="7"/>
    </row>
    <row r="30" spans="1:22">
      <c r="A30" s="6"/>
      <c r="B30" s="6"/>
      <c r="C30" s="13"/>
      <c r="D30" s="6"/>
      <c r="E30" s="6"/>
      <c r="F30" s="6"/>
      <c r="G30" s="6"/>
      <c r="H30" s="7"/>
      <c r="I30" s="6"/>
      <c r="J30" s="6"/>
      <c r="K30" s="6"/>
      <c r="L30" s="7"/>
      <c r="M30" s="7"/>
      <c r="N30" s="7"/>
    </row>
    <row r="31" spans="1:22">
      <c r="D31" s="6"/>
      <c r="E31" s="7"/>
      <c r="F31" s="12"/>
      <c r="G31" s="12"/>
      <c r="H31" s="7"/>
      <c r="I31" s="7"/>
      <c r="J31" s="12"/>
      <c r="K31" s="12"/>
      <c r="L31" s="7"/>
      <c r="M31" s="7"/>
      <c r="N31" s="14"/>
    </row>
    <row r="32" spans="1:22">
      <c r="D32" s="6"/>
      <c r="E32" s="6"/>
      <c r="F32" s="6"/>
      <c r="G32" s="6"/>
      <c r="H32" s="7"/>
      <c r="I32" s="6"/>
      <c r="J32" s="6"/>
      <c r="K32" s="6"/>
      <c r="L32" s="7"/>
      <c r="M32" s="7"/>
      <c r="N32" s="7"/>
    </row>
    <row r="33" spans="5:5">
      <c r="E33" s="5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Initial Investment</vt:lpstr>
      <vt:lpstr>Distributor Cash flow</vt:lpstr>
      <vt:lpstr>Full ROI Calculation</vt:lpstr>
      <vt:lpstr>Sheet1</vt:lpstr>
    </vt:vector>
  </TitlesOfParts>
  <Company>Contex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</dc:creator>
  <cp:lastModifiedBy>Jette Lundquist</cp:lastModifiedBy>
  <dcterms:created xsi:type="dcterms:W3CDTF">2009-05-19T17:32:42Z</dcterms:created>
  <dcterms:modified xsi:type="dcterms:W3CDTF">2009-10-21T07:35:13Z</dcterms:modified>
</cp:coreProperties>
</file>